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485" windowHeight="10065" activeTab="0"/>
  </bookViews>
  <sheets>
    <sheet name="Use of Cow Loan" sheetId="1" r:id="rId1"/>
    <sheet name="Amortization" sheetId="2" r:id="rId2"/>
    <sheet name="Budget" sheetId="3" r:id="rId3"/>
    <sheet name="Cow Loan Analysis" sheetId="4" r:id="rId4"/>
  </sheets>
  <definedNames>
    <definedName name="solver_adj" localSheetId="1" hidden="1">'Amortization'!$B$2</definedName>
    <definedName name="solver_adj" localSheetId="0" hidden="1">'Use of Cow Loan'!$B$16</definedName>
    <definedName name="solver_cvg" localSheetId="1" hidden="1">0.0001</definedName>
    <definedName name="solver_cvg" localSheetId="0" hidden="1">0.0001</definedName>
    <definedName name="solver_drv" localSheetId="1" hidden="1">1</definedName>
    <definedName name="solver_drv" localSheetId="0" hidden="1">1</definedName>
    <definedName name="solver_est" localSheetId="1" hidden="1">1</definedName>
    <definedName name="solver_est" localSheetId="0" hidden="1">1</definedName>
    <definedName name="solver_itr" localSheetId="1" hidden="1">100</definedName>
    <definedName name="solver_itr" localSheetId="0" hidden="1">100</definedName>
    <definedName name="solver_lin" localSheetId="1" hidden="1">2</definedName>
    <definedName name="solver_lin" localSheetId="0" hidden="1">2</definedName>
    <definedName name="solver_neg" localSheetId="1" hidden="1">2</definedName>
    <definedName name="solver_neg" localSheetId="0" hidden="1">2</definedName>
    <definedName name="solver_num" localSheetId="1" hidden="1">0</definedName>
    <definedName name="solver_num" localSheetId="0" hidden="1">0</definedName>
    <definedName name="solver_nwt" localSheetId="1" hidden="1">1</definedName>
    <definedName name="solver_nwt" localSheetId="0" hidden="1">1</definedName>
    <definedName name="solver_opt" localSheetId="1" hidden="1">'Amortization'!$B$4</definedName>
    <definedName name="solver_opt" localSheetId="0" hidden="1">'Use of Cow Loan'!$I$21</definedName>
    <definedName name="solver_pre" localSheetId="1" hidden="1">0.000001</definedName>
    <definedName name="solver_pre" localSheetId="0" hidden="1">0.000001</definedName>
    <definedName name="solver_scl" localSheetId="1" hidden="1">2</definedName>
    <definedName name="solver_scl" localSheetId="0" hidden="1">2</definedName>
    <definedName name="solver_sho" localSheetId="1" hidden="1">2</definedName>
    <definedName name="solver_sho" localSheetId="0" hidden="1">2</definedName>
    <definedName name="solver_tim" localSheetId="1" hidden="1">100</definedName>
    <definedName name="solver_tim" localSheetId="0" hidden="1">100</definedName>
    <definedName name="solver_tol" localSheetId="1" hidden="1">0.05</definedName>
    <definedName name="solver_tol" localSheetId="0" hidden="1">0.05</definedName>
    <definedName name="solver_typ" localSheetId="1" hidden="1">3</definedName>
    <definedName name="solver_typ" localSheetId="0" hidden="1">3</definedName>
    <definedName name="solver_val" localSheetId="1" hidden="1">520.43</definedName>
    <definedName name="solver_val" localSheetId="0" hidden="1">5000</definedName>
  </definedNames>
  <calcPr fullCalcOnLoad="1"/>
</workbook>
</file>

<file path=xl/comments1.xml><?xml version="1.0" encoding="utf-8"?>
<comments xmlns="http://schemas.openxmlformats.org/spreadsheetml/2006/main">
  <authors>
    <author>Image</author>
  </authors>
  <commentList>
    <comment ref="L12" authorId="0">
      <text>
        <r>
          <rPr>
            <b/>
            <sz val="8"/>
            <rFont val="Tahoma"/>
            <family val="0"/>
          </rPr>
          <t>Interest rate that would stretch funds out to the end of the COW LOAN NOTE ends.  Solved for if there is 22,000 (means no spending other than 8,000 for 2006, 2007 IRA) in an Index Fund, required return to fully fund IRA until 2013.</t>
        </r>
        <r>
          <rPr>
            <sz val="8"/>
            <rFont val="Tahoma"/>
            <family val="0"/>
          </rPr>
          <t xml:space="preserve">
</t>
        </r>
      </text>
    </comment>
    <comment ref="I20" authorId="0">
      <text>
        <r>
          <rPr>
            <b/>
            <sz val="10"/>
            <rFont val="Tahoma"/>
            <family val="2"/>
          </rPr>
          <t>COW LOAN is PAID OFF
DROP THE NOTE, 
Pick up Monthly IRA NOTE.</t>
        </r>
      </text>
    </comment>
  </commentList>
</comments>
</file>

<file path=xl/comments2.xml><?xml version="1.0" encoding="utf-8"?>
<comments xmlns="http://schemas.openxmlformats.org/spreadsheetml/2006/main">
  <authors>
    <author>Image</author>
  </authors>
  <commentList>
    <comment ref="D68" authorId="0">
      <text>
        <r>
          <rPr>
            <b/>
            <sz val="12"/>
            <rFont val="Tahoma"/>
            <family val="2"/>
          </rPr>
          <t>COST TO YOU!</t>
        </r>
      </text>
    </comment>
  </commentList>
</comments>
</file>

<file path=xl/comments3.xml><?xml version="1.0" encoding="utf-8"?>
<comments xmlns="http://schemas.openxmlformats.org/spreadsheetml/2006/main">
  <authors>
    <author>Math Department</author>
  </authors>
  <commentList>
    <comment ref="R22" authorId="0">
      <text>
        <r>
          <rPr>
            <b/>
            <sz val="8"/>
            <rFont val="Tahoma"/>
            <family val="0"/>
          </rPr>
          <t>Social Security payments are withheld from all earnings up to a maximum  amount that changes anually.  The current rate is 6.20% withholdings from earnings up to $80,900.</t>
        </r>
      </text>
    </comment>
    <comment ref="R23" authorId="0">
      <text>
        <r>
          <rPr>
            <b/>
            <sz val="8"/>
            <rFont val="Tahoma"/>
            <family val="0"/>
          </rPr>
          <t>Unlike Social Security, there is no cap on Medicare payments.  We all pay 1.45% of every dollar we make into Medicare.</t>
        </r>
      </text>
    </comment>
  </commentList>
</comments>
</file>

<file path=xl/comments4.xml><?xml version="1.0" encoding="utf-8"?>
<comments xmlns="http://schemas.openxmlformats.org/spreadsheetml/2006/main">
  <authors>
    <author>Image</author>
  </authors>
  <commentList>
    <comment ref="H29" authorId="0">
      <text>
        <r>
          <rPr>
            <b/>
            <sz val="8"/>
            <rFont val="Tahoma"/>
            <family val="0"/>
          </rPr>
          <t>Months until Graduation</t>
        </r>
      </text>
    </comment>
  </commentList>
</comments>
</file>

<file path=xl/sharedStrings.xml><?xml version="1.0" encoding="utf-8"?>
<sst xmlns="http://schemas.openxmlformats.org/spreadsheetml/2006/main" count="175" uniqueCount="140">
  <si>
    <t>Year</t>
  </si>
  <si>
    <t>Time period</t>
  </si>
  <si>
    <t xml:space="preserve">Age </t>
  </si>
  <si>
    <t>Discount Factor</t>
  </si>
  <si>
    <t>COW LOAN</t>
  </si>
  <si>
    <t>Credit Cards</t>
  </si>
  <si>
    <t>Car</t>
  </si>
  <si>
    <t>Ring</t>
  </si>
  <si>
    <t>Difference</t>
  </si>
  <si>
    <t>Spring Break</t>
  </si>
  <si>
    <t>Uniforms</t>
  </si>
  <si>
    <t>Difference into Money Market (for Roth or Emergency)</t>
  </si>
  <si>
    <t>Time Period</t>
  </si>
  <si>
    <t>Roth IRA contribution</t>
  </si>
  <si>
    <t>Roth IRA (max contribution)</t>
  </si>
  <si>
    <t>Percent of Roth IRA contribution per year</t>
  </si>
  <si>
    <t xml:space="preserve">Value of Roth IRA </t>
  </si>
  <si>
    <t>Loan</t>
  </si>
  <si>
    <t>annual</t>
  </si>
  <si>
    <t>monthly</t>
  </si>
  <si>
    <t>Payment</t>
  </si>
  <si>
    <t>Months</t>
  </si>
  <si>
    <t>Balance</t>
  </si>
  <si>
    <t>Interest</t>
  </si>
  <si>
    <t>Principal</t>
  </si>
  <si>
    <t>PMT</t>
  </si>
  <si>
    <t>ending Balance</t>
  </si>
  <si>
    <t>Amortization of Loan</t>
  </si>
  <si>
    <t>Near Term Goals (0-2 year)</t>
  </si>
  <si>
    <t>Amt Required</t>
  </si>
  <si>
    <t>Years Until Required</t>
  </si>
  <si>
    <t>Annual Return on Savings</t>
  </si>
  <si>
    <t>Monthly Savings Needed</t>
  </si>
  <si>
    <t>Trip to Cancun w/ my friends</t>
  </si>
  <si>
    <t>Monthly Savings Required to Meet Short Term Goals</t>
  </si>
  <si>
    <t>Medium Term Goals (2-5 Years)</t>
  </si>
  <si>
    <t>Living Room Suite</t>
  </si>
  <si>
    <t>Monthly Savings Required to Meet Medium Term Goals</t>
  </si>
  <si>
    <t>Long Term Goals (5+ Years)</t>
  </si>
  <si>
    <t>Monthly Savings Required to Meet Long Term Goals</t>
  </si>
  <si>
    <t>Expenses</t>
  </si>
  <si>
    <t>SUMMARY OF MONTHLY CASH FLOW</t>
  </si>
  <si>
    <t>Taxes</t>
  </si>
  <si>
    <t>Federal Taxes</t>
  </si>
  <si>
    <t>FICA</t>
  </si>
  <si>
    <t>FICA Medicare</t>
  </si>
  <si>
    <t xml:space="preserve">State Taxes </t>
  </si>
  <si>
    <t>Available to Meet Financial Goals</t>
  </si>
  <si>
    <t>Total Taxes</t>
  </si>
  <si>
    <t>Rent</t>
  </si>
  <si>
    <t>Cow Loan</t>
  </si>
  <si>
    <t>Gas</t>
  </si>
  <si>
    <t>Car Maintenance</t>
  </si>
  <si>
    <t>Auto Insurance</t>
  </si>
  <si>
    <t>Can you meet your Financial Goals?</t>
  </si>
  <si>
    <t>Renters Insurance</t>
  </si>
  <si>
    <t>Utilities</t>
  </si>
  <si>
    <t>Federal Income Tax Calculations</t>
  </si>
  <si>
    <t>Cable TV</t>
  </si>
  <si>
    <t>Electricity</t>
  </si>
  <si>
    <t>Annual Pay</t>
  </si>
  <si>
    <t>Water</t>
  </si>
  <si>
    <t>Exemptions</t>
  </si>
  <si>
    <t>Trash</t>
  </si>
  <si>
    <t>Standard Deduction</t>
  </si>
  <si>
    <t>Phone</t>
  </si>
  <si>
    <t>Taxable Income</t>
  </si>
  <si>
    <t>Haircuts</t>
  </si>
  <si>
    <t xml:space="preserve">Tax </t>
  </si>
  <si>
    <t>Credit Card Payment</t>
  </si>
  <si>
    <t>Medicare</t>
  </si>
  <si>
    <t>Other Debt Payment</t>
  </si>
  <si>
    <t>After Tax Annual Income</t>
  </si>
  <si>
    <t>Savings</t>
  </si>
  <si>
    <t>Groceries</t>
  </si>
  <si>
    <t>Tax Table for Single Filers</t>
  </si>
  <si>
    <t>Dining</t>
  </si>
  <si>
    <t>If taxable income is:</t>
  </si>
  <si>
    <t xml:space="preserve">Marginal Tax Rate </t>
  </si>
  <si>
    <t>Of the amount over</t>
  </si>
  <si>
    <t>Entertainment</t>
  </si>
  <si>
    <t>Over</t>
  </si>
  <si>
    <t>But not over</t>
  </si>
  <si>
    <t xml:space="preserve">Then tax is </t>
  </si>
  <si>
    <t>Subscriptions</t>
  </si>
  <si>
    <t>+</t>
  </si>
  <si>
    <t>Miscellaneous</t>
  </si>
  <si>
    <t>Other</t>
  </si>
  <si>
    <t>Total Expenses</t>
  </si>
  <si>
    <t>Income</t>
  </si>
  <si>
    <t>Gross Pay</t>
  </si>
  <si>
    <t>BAH</t>
  </si>
  <si>
    <t>BAS</t>
  </si>
  <si>
    <t>Total Income</t>
  </si>
  <si>
    <t>http://www.dod.mil/dfas/money/milpay/AMPOHome.htm</t>
  </si>
  <si>
    <t>Life Insurance (SGLI)</t>
  </si>
  <si>
    <t>Retirement</t>
  </si>
  <si>
    <t xml:space="preserve">Future Goals…Known Amount in Future </t>
  </si>
  <si>
    <t>Total of Financial Goals</t>
  </si>
  <si>
    <t>???ROTH IRA???</t>
  </si>
  <si>
    <t>Max Contribution Annually</t>
  </si>
  <si>
    <t>Required Monthly</t>
  </si>
  <si>
    <t>ROTH IRA through 2007</t>
  </si>
  <si>
    <t>ROTH IRA starting in 2008</t>
  </si>
  <si>
    <t>Money Market Return or Index Fund</t>
  </si>
  <si>
    <t>IRA Return</t>
  </si>
  <si>
    <t>Emergency fund</t>
  </si>
  <si>
    <t>Roth IRA 2006</t>
  </si>
  <si>
    <t>Value of Money Market or Index Fund</t>
  </si>
  <si>
    <t>Roth IRA 2007</t>
  </si>
  <si>
    <t>2008 (GRAD)</t>
  </si>
  <si>
    <t>2010 (1LT)</t>
  </si>
  <si>
    <t>2012 (CPT)</t>
  </si>
  <si>
    <t>Roth Contributions</t>
  </si>
  <si>
    <t>2008 and beyond</t>
  </si>
  <si>
    <t>up to 2007</t>
  </si>
  <si>
    <t>Yearly Contribution</t>
  </si>
  <si>
    <t>SUBTOTAL</t>
  </si>
  <si>
    <t>Fully Funded Roth IRA (Benchmark) - BEST CASE</t>
  </si>
  <si>
    <t>MISS 2006, 2007 &amp; Start as CPT - WORST CASE</t>
  </si>
  <si>
    <t>START AFTER PROMOTION TO 1LT</t>
  </si>
  <si>
    <t>START AFTER PROMOTION TO CPT</t>
  </si>
  <si>
    <t>START AFTER COW LOAN PAID</t>
  </si>
  <si>
    <t>SOLVE FOR COUPON PAYMENT</t>
  </si>
  <si>
    <t>years</t>
  </si>
  <si>
    <t>months</t>
  </si>
  <si>
    <t>days</t>
  </si>
  <si>
    <t>t</t>
  </si>
  <si>
    <t>annuity factor</t>
  </si>
  <si>
    <t>cpn</t>
  </si>
  <si>
    <t>rate</t>
  </si>
  <si>
    <t>PV</t>
  </si>
  <si>
    <t>Total Payments</t>
  </si>
  <si>
    <t>SOLVE FOR PRESENT VALUE OF LOAN</t>
  </si>
  <si>
    <t>Cow Loan Received</t>
  </si>
  <si>
    <t>PV at Graduation</t>
  </si>
  <si>
    <t>Annual</t>
  </si>
  <si>
    <t>days per month</t>
  </si>
  <si>
    <t>daily</t>
  </si>
  <si>
    <t>days of compounding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</si>
</sst>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_);_(&quot;$&quot;* \(#,##0\);_(&quot;$&quot;* &quot;-&quot;??_);_(@_)"/>
    <numFmt numFmtId="166" formatCode="0.0000%"/>
    <numFmt numFmtId="167" formatCode="0.0%"/>
    <numFmt numFmtId="168" formatCode="0.000%"/>
    <numFmt numFmtId="169" formatCode="0.00000%"/>
    <numFmt numFmtId="170" formatCode="&quot;$&quot;#,##0"/>
    <numFmt numFmtId="171" formatCode="_(&quot;$&quot;* #,##0.00000_);_(&quot;$&quot;* \(#,##0.00000\);_(&quot;$&quot;* &quot;-&quot;?????_);_(@_)"/>
    <numFmt numFmtId="172" formatCode="0.000000%"/>
  </numFmts>
  <fonts count="21">
    <font>
      <sz val="10"/>
      <name val="Arial"/>
      <family val="0"/>
    </font>
    <font>
      <b/>
      <u val="single"/>
      <sz val="10"/>
      <name val="Arial"/>
      <family val="2"/>
    </font>
    <font>
      <sz val="9"/>
      <name val="Arial"/>
      <family val="2"/>
    </font>
    <font>
      <b/>
      <sz val="10"/>
      <name val="Arial"/>
      <family val="2"/>
    </font>
    <font>
      <b/>
      <sz val="8"/>
      <name val="Arial"/>
      <family val="2"/>
    </font>
    <font>
      <b/>
      <sz val="14"/>
      <name val="Arial"/>
      <family val="2"/>
    </font>
    <font>
      <b/>
      <sz val="16"/>
      <name val="Arial"/>
      <family val="2"/>
    </font>
    <font>
      <b/>
      <sz val="10"/>
      <name val="Tahoma"/>
      <family val="2"/>
    </font>
    <font>
      <sz val="8"/>
      <name val="Tahoma"/>
      <family val="0"/>
    </font>
    <font>
      <b/>
      <sz val="8"/>
      <name val="Tahoma"/>
      <family val="0"/>
    </font>
    <font>
      <b/>
      <sz val="12"/>
      <name val="Tahoma"/>
      <family val="2"/>
    </font>
    <font>
      <sz val="8"/>
      <name val="Arial"/>
      <family val="0"/>
    </font>
    <font>
      <b/>
      <u val="single"/>
      <sz val="14"/>
      <name val="Arial"/>
      <family val="2"/>
    </font>
    <font>
      <b/>
      <sz val="12"/>
      <name val="Arial"/>
      <family val="2"/>
    </font>
    <font>
      <i/>
      <sz val="10"/>
      <name val="Arial"/>
      <family val="2"/>
    </font>
    <font>
      <sz val="12"/>
      <name val="Arial"/>
      <family val="0"/>
    </font>
    <font>
      <sz val="14"/>
      <name val="Arial"/>
      <family val="2"/>
    </font>
    <font>
      <u val="single"/>
      <sz val="9"/>
      <color indexed="12"/>
      <name val="Arial"/>
      <family val="0"/>
    </font>
    <font>
      <u val="single"/>
      <sz val="9"/>
      <color indexed="36"/>
      <name val="Arial"/>
      <family val="0"/>
    </font>
    <font>
      <b/>
      <u val="single"/>
      <sz val="12"/>
      <name val="Arial"/>
      <family val="2"/>
    </font>
    <font>
      <b/>
      <sz val="14.25"/>
      <name val="Arial"/>
      <family val="0"/>
    </font>
  </fonts>
  <fills count="17">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52"/>
        <bgColor indexed="64"/>
      </patternFill>
    </fill>
    <fill>
      <patternFill patternType="solid">
        <fgColor indexed="47"/>
        <bgColor indexed="64"/>
      </patternFill>
    </fill>
    <fill>
      <patternFill patternType="solid">
        <fgColor indexed="50"/>
        <bgColor indexed="64"/>
      </patternFill>
    </fill>
    <fill>
      <patternFill patternType="solid">
        <fgColor indexed="46"/>
        <bgColor indexed="64"/>
      </patternFill>
    </fill>
    <fill>
      <patternFill patternType="solid">
        <fgColor indexed="48"/>
        <bgColor indexed="64"/>
      </patternFill>
    </fill>
    <fill>
      <patternFill patternType="solid">
        <fgColor indexed="11"/>
        <bgColor indexed="64"/>
      </patternFill>
    </fill>
  </fills>
  <borders count="58">
    <border>
      <left/>
      <right/>
      <top/>
      <bottom/>
      <diagonal/>
    </border>
    <border>
      <left style="medium"/>
      <right>
        <color indexed="63"/>
      </right>
      <top style="medium"/>
      <bottom>
        <color indexed="63"/>
      </bottom>
    </border>
    <border>
      <left style="medium"/>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color indexed="63"/>
      </top>
      <bottom style="medium"/>
    </border>
    <border>
      <left style="mediumDashed"/>
      <right>
        <color indexed="63"/>
      </right>
      <top>
        <color indexed="63"/>
      </top>
      <bottom style="medium"/>
    </border>
    <border>
      <left>
        <color indexed="63"/>
      </left>
      <right style="medium"/>
      <top>
        <color indexed="63"/>
      </top>
      <bottom style="medium"/>
    </border>
    <border>
      <left style="mediumDashed"/>
      <right>
        <color indexed="63"/>
      </right>
      <top>
        <color indexed="63"/>
      </top>
      <bottom>
        <color indexed="63"/>
      </bottom>
    </border>
    <border>
      <left>
        <color indexed="63"/>
      </left>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double"/>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thin"/>
      <bottom style="thin"/>
    </border>
    <border>
      <left style="medium"/>
      <right>
        <color indexed="63"/>
      </right>
      <top style="thin"/>
      <bottom>
        <color indexed="63"/>
      </bottom>
    </border>
    <border>
      <left style="double"/>
      <right>
        <color indexed="63"/>
      </right>
      <top>
        <color indexed="63"/>
      </top>
      <bottom style="medium"/>
    </border>
    <border>
      <left style="thin"/>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3" fillId="2" borderId="0" xfId="0" applyFont="1" applyFill="1" applyAlignment="1">
      <alignment horizontal="left"/>
    </xf>
    <xf numFmtId="15" fontId="4" fillId="2" borderId="0" xfId="0" applyNumberFormat="1" applyFont="1" applyFill="1" applyAlignment="1">
      <alignment horizontal="center"/>
    </xf>
    <xf numFmtId="15" fontId="4" fillId="0" borderId="0" xfId="0" applyNumberFormat="1" applyFont="1" applyFill="1" applyAlignment="1">
      <alignment horizontal="center"/>
    </xf>
    <xf numFmtId="0" fontId="3" fillId="2" borderId="0" xfId="0" applyFont="1" applyFill="1" applyAlignment="1">
      <alignment horizontal="center"/>
    </xf>
    <xf numFmtId="0" fontId="3" fillId="0" borderId="0" xfId="0" applyFont="1" applyFill="1" applyAlignment="1">
      <alignment horizontal="center"/>
    </xf>
    <xf numFmtId="37" fontId="3" fillId="2" borderId="0" xfId="0" applyNumberFormat="1" applyFont="1" applyFill="1" applyAlignment="1">
      <alignment horizontal="center"/>
    </xf>
    <xf numFmtId="37" fontId="3" fillId="0" borderId="0" xfId="0" applyNumberFormat="1" applyFont="1" applyFill="1" applyAlignment="1">
      <alignment horizontal="center"/>
    </xf>
    <xf numFmtId="0" fontId="0" fillId="3" borderId="0" xfId="0" applyFill="1" applyAlignment="1">
      <alignment/>
    </xf>
    <xf numFmtId="164" fontId="0" fillId="3" borderId="0" xfId="0" applyNumberFormat="1" applyFill="1" applyAlignment="1">
      <alignment/>
    </xf>
    <xf numFmtId="164" fontId="0" fillId="0" borderId="0" xfId="0" applyNumberFormat="1" applyFill="1" applyAlignment="1">
      <alignment/>
    </xf>
    <xf numFmtId="0" fontId="5" fillId="2" borderId="1" xfId="0" applyFont="1" applyFill="1" applyBorder="1" applyAlignment="1">
      <alignment/>
    </xf>
    <xf numFmtId="164" fontId="0" fillId="0" borderId="0" xfId="0" applyNumberFormat="1" applyAlignment="1">
      <alignment/>
    </xf>
    <xf numFmtId="44" fontId="0" fillId="0" borderId="0" xfId="0" applyNumberFormat="1" applyAlignment="1">
      <alignment/>
    </xf>
    <xf numFmtId="0" fontId="0" fillId="0" borderId="2" xfId="0" applyBorder="1" applyAlignment="1">
      <alignment/>
    </xf>
    <xf numFmtId="0" fontId="6" fillId="0" borderId="0" xfId="0" applyFont="1" applyFill="1" applyBorder="1" applyAlignment="1">
      <alignment horizontal="center"/>
    </xf>
    <xf numFmtId="0" fontId="0" fillId="4" borderId="0" xfId="0" applyFill="1" applyAlignment="1">
      <alignment/>
    </xf>
    <xf numFmtId="0" fontId="0" fillId="4" borderId="3" xfId="0" applyFill="1" applyBorder="1" applyAlignment="1">
      <alignment horizontal="center"/>
    </xf>
    <xf numFmtId="44" fontId="0" fillId="0" borderId="0" xfId="17" applyAlignment="1">
      <alignment/>
    </xf>
    <xf numFmtId="0" fontId="0" fillId="2" borderId="0" xfId="0" applyFill="1" applyAlignment="1">
      <alignment/>
    </xf>
    <xf numFmtId="0" fontId="3" fillId="2" borderId="4" xfId="0" applyFont="1" applyFill="1" applyBorder="1" applyAlignment="1">
      <alignment horizontal="center"/>
    </xf>
    <xf numFmtId="0" fontId="0" fillId="0" borderId="0" xfId="0" applyBorder="1" applyAlignment="1">
      <alignment/>
    </xf>
    <xf numFmtId="165" fontId="0" fillId="0" borderId="4" xfId="17" applyNumberFormat="1" applyBorder="1" applyAlignment="1">
      <alignment/>
    </xf>
    <xf numFmtId="0" fontId="0" fillId="3" borderId="0" xfId="0" applyFill="1" applyBorder="1" applyAlignment="1">
      <alignment/>
    </xf>
    <xf numFmtId="165" fontId="0" fillId="3" borderId="4" xfId="17" applyNumberFormat="1" applyFill="1" applyBorder="1" applyAlignment="1">
      <alignment/>
    </xf>
    <xf numFmtId="0" fontId="0" fillId="0" borderId="0" xfId="0" applyFill="1" applyBorder="1" applyAlignment="1">
      <alignment/>
    </xf>
    <xf numFmtId="9" fontId="3" fillId="0" borderId="5" xfId="21" applyFont="1" applyBorder="1" applyAlignment="1">
      <alignment horizontal="center"/>
    </xf>
    <xf numFmtId="0" fontId="3" fillId="5" borderId="6" xfId="0" applyFont="1" applyFill="1" applyBorder="1" applyAlignment="1">
      <alignment horizontal="left"/>
    </xf>
    <xf numFmtId="0" fontId="0" fillId="0" borderId="7" xfId="0" applyBorder="1" applyAlignment="1">
      <alignment/>
    </xf>
    <xf numFmtId="0" fontId="0" fillId="0" borderId="8" xfId="0" applyBorder="1" applyAlignment="1">
      <alignment/>
    </xf>
    <xf numFmtId="0" fontId="3" fillId="0" borderId="9" xfId="0" applyFont="1" applyFill="1" applyBorder="1" applyAlignment="1">
      <alignment horizontal="left"/>
    </xf>
    <xf numFmtId="44" fontId="0" fillId="0" borderId="0" xfId="17" applyBorder="1" applyAlignment="1">
      <alignment/>
    </xf>
    <xf numFmtId="44" fontId="0" fillId="0" borderId="0" xfId="0" applyNumberFormat="1" applyBorder="1" applyAlignment="1">
      <alignment/>
    </xf>
    <xf numFmtId="44" fontId="0" fillId="0" borderId="10" xfId="0" applyNumberFormat="1" applyBorder="1" applyAlignment="1">
      <alignment/>
    </xf>
    <xf numFmtId="0" fontId="0" fillId="0" borderId="10" xfId="0" applyBorder="1" applyAlignment="1">
      <alignment/>
    </xf>
    <xf numFmtId="44" fontId="0" fillId="0" borderId="0" xfId="17" applyFill="1" applyBorder="1" applyAlignment="1">
      <alignment/>
    </xf>
    <xf numFmtId="0" fontId="3" fillId="5" borderId="9" xfId="0" applyFont="1" applyFill="1" applyBorder="1" applyAlignment="1">
      <alignment horizontal="left"/>
    </xf>
    <xf numFmtId="44" fontId="0" fillId="5" borderId="0" xfId="0" applyNumberFormat="1" applyFill="1" applyBorder="1" applyAlignment="1">
      <alignment/>
    </xf>
    <xf numFmtId="44" fontId="0" fillId="5" borderId="0" xfId="17" applyFill="1" applyBorder="1" applyAlignment="1">
      <alignment/>
    </xf>
    <xf numFmtId="0" fontId="3" fillId="6" borderId="6" xfId="0" applyFont="1" applyFill="1" applyBorder="1" applyAlignment="1">
      <alignment horizontal="left"/>
    </xf>
    <xf numFmtId="0" fontId="0" fillId="0" borderId="11" xfId="0" applyBorder="1" applyAlignment="1">
      <alignment/>
    </xf>
    <xf numFmtId="44" fontId="0" fillId="0" borderId="12" xfId="17" applyBorder="1" applyAlignment="1">
      <alignment/>
    </xf>
    <xf numFmtId="0" fontId="3" fillId="6" borderId="9" xfId="0" applyFont="1" applyFill="1" applyBorder="1" applyAlignment="1">
      <alignment horizontal="left"/>
    </xf>
    <xf numFmtId="44" fontId="0" fillId="6" borderId="0" xfId="0" applyNumberFormat="1" applyFill="1" applyBorder="1" applyAlignment="1">
      <alignment/>
    </xf>
    <xf numFmtId="44" fontId="0" fillId="6" borderId="0" xfId="17" applyFill="1" applyBorder="1" applyAlignment="1">
      <alignment/>
    </xf>
    <xf numFmtId="0" fontId="3" fillId="7" borderId="6" xfId="0" applyFont="1" applyFill="1" applyBorder="1" applyAlignment="1">
      <alignment horizontal="left"/>
    </xf>
    <xf numFmtId="0" fontId="3" fillId="7" borderId="9" xfId="0" applyFont="1" applyFill="1" applyBorder="1" applyAlignment="1">
      <alignment horizontal="left"/>
    </xf>
    <xf numFmtId="44" fontId="0" fillId="7" borderId="0" xfId="0" applyNumberFormat="1" applyFill="1" applyBorder="1" applyAlignment="1">
      <alignment/>
    </xf>
    <xf numFmtId="44" fontId="0" fillId="7" borderId="0" xfId="17" applyFill="1" applyBorder="1" applyAlignment="1">
      <alignment/>
    </xf>
    <xf numFmtId="10" fontId="0" fillId="0" borderId="0" xfId="0" applyNumberFormat="1" applyAlignment="1">
      <alignment/>
    </xf>
    <xf numFmtId="166" fontId="0" fillId="0" borderId="0" xfId="21" applyNumberFormat="1" applyAlignment="1">
      <alignment/>
    </xf>
    <xf numFmtId="8" fontId="0" fillId="0" borderId="0" xfId="0" applyNumberFormat="1" applyAlignment="1">
      <alignment/>
    </xf>
    <xf numFmtId="44" fontId="0" fillId="0" borderId="0" xfId="17" applyFont="1" applyAlignment="1">
      <alignment/>
    </xf>
    <xf numFmtId="44" fontId="3" fillId="0" borderId="0" xfId="0" applyNumberFormat="1" applyFont="1" applyAlignment="1">
      <alignment/>
    </xf>
    <xf numFmtId="0" fontId="0" fillId="0" borderId="13" xfId="0" applyBorder="1" applyAlignment="1">
      <alignment/>
    </xf>
    <xf numFmtId="44" fontId="0" fillId="0" borderId="13" xfId="17" applyBorder="1" applyAlignment="1">
      <alignment/>
    </xf>
    <xf numFmtId="0" fontId="0" fillId="0" borderId="14" xfId="0" applyBorder="1" applyAlignment="1">
      <alignment/>
    </xf>
    <xf numFmtId="44" fontId="0" fillId="0" borderId="15" xfId="17" applyBorder="1" applyAlignment="1">
      <alignment/>
    </xf>
    <xf numFmtId="169" fontId="3" fillId="0" borderId="0" xfId="21" applyNumberFormat="1" applyFont="1" applyAlignment="1">
      <alignment/>
    </xf>
    <xf numFmtId="0" fontId="3" fillId="0" borderId="0" xfId="0" applyFont="1" applyAlignment="1">
      <alignment wrapText="1"/>
    </xf>
    <xf numFmtId="0" fontId="0" fillId="0" borderId="0" xfId="0" applyFont="1" applyAlignment="1">
      <alignment wrapText="1"/>
    </xf>
    <xf numFmtId="0" fontId="0" fillId="0" borderId="16" xfId="0" applyBorder="1" applyAlignment="1">
      <alignment/>
    </xf>
    <xf numFmtId="44" fontId="0" fillId="0" borderId="0" xfId="17" applyAlignment="1">
      <alignment/>
    </xf>
    <xf numFmtId="0" fontId="0" fillId="0" borderId="0" xfId="0" applyFont="1" applyBorder="1" applyAlignment="1">
      <alignment horizontal="center" wrapText="1"/>
    </xf>
    <xf numFmtId="0" fontId="3" fillId="0" borderId="0" xfId="0" applyFont="1" applyBorder="1" applyAlignment="1">
      <alignment/>
    </xf>
    <xf numFmtId="44" fontId="0" fillId="0" borderId="0" xfId="17" applyBorder="1" applyAlignment="1">
      <alignment/>
    </xf>
    <xf numFmtId="0" fontId="0" fillId="0" borderId="0" xfId="0" applyFont="1" applyBorder="1" applyAlignment="1">
      <alignment/>
    </xf>
    <xf numFmtId="0" fontId="0" fillId="0" borderId="0" xfId="0" applyFont="1" applyBorder="1" applyAlignment="1">
      <alignment horizontal="left" indent="3"/>
    </xf>
    <xf numFmtId="8" fontId="0" fillId="0" borderId="0" xfId="17" applyNumberFormat="1" applyBorder="1" applyAlignment="1">
      <alignment/>
    </xf>
    <xf numFmtId="0" fontId="0" fillId="0" borderId="0" xfId="0" applyFont="1" applyBorder="1" applyAlignment="1">
      <alignment horizontal="left"/>
    </xf>
    <xf numFmtId="0" fontId="3" fillId="0" borderId="0" xfId="0" applyFont="1" applyBorder="1" applyAlignment="1">
      <alignment wrapText="1"/>
    </xf>
    <xf numFmtId="0" fontId="0" fillId="0" borderId="9" xfId="0" applyBorder="1" applyAlignment="1">
      <alignment/>
    </xf>
    <xf numFmtId="0" fontId="0" fillId="0" borderId="0" xfId="0" applyBorder="1" applyAlignment="1">
      <alignment/>
    </xf>
    <xf numFmtId="0" fontId="1" fillId="0" borderId="0" xfId="0" applyFont="1" applyBorder="1" applyAlignment="1">
      <alignment horizontal="left"/>
    </xf>
    <xf numFmtId="0" fontId="0" fillId="0" borderId="10" xfId="0" applyBorder="1" applyAlignment="1">
      <alignment/>
    </xf>
    <xf numFmtId="44" fontId="0" fillId="0" borderId="0" xfId="0" applyNumberFormat="1" applyBorder="1" applyAlignment="1" applyProtection="1">
      <alignment/>
      <protection/>
    </xf>
    <xf numFmtId="44" fontId="0" fillId="0" borderId="0" xfId="0" applyNumberFormat="1" applyBorder="1" applyAlignment="1">
      <alignment/>
    </xf>
    <xf numFmtId="44" fontId="0" fillId="0" borderId="0" xfId="17" applyBorder="1" applyAlignment="1">
      <alignment/>
    </xf>
    <xf numFmtId="44" fontId="0" fillId="0" borderId="0" xfId="17" applyBorder="1" applyAlignment="1" applyProtection="1">
      <alignment/>
      <protection locked="0"/>
    </xf>
    <xf numFmtId="10" fontId="0" fillId="0" borderId="0" xfId="21" applyNumberFormat="1" applyBorder="1" applyAlignment="1">
      <alignment/>
    </xf>
    <xf numFmtId="0" fontId="0" fillId="0" borderId="17" xfId="0" applyBorder="1" applyAlignment="1">
      <alignment/>
    </xf>
    <xf numFmtId="10" fontId="0" fillId="0" borderId="13" xfId="21" applyNumberFormat="1" applyBorder="1" applyAlignment="1">
      <alignment/>
    </xf>
    <xf numFmtId="44" fontId="0" fillId="0" borderId="13" xfId="0" applyNumberFormat="1" applyBorder="1" applyAlignment="1">
      <alignment/>
    </xf>
    <xf numFmtId="0" fontId="0" fillId="2" borderId="9"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vertical="top" wrapText="1"/>
    </xf>
    <xf numFmtId="0" fontId="0" fillId="2" borderId="10" xfId="0" applyFont="1" applyFill="1" applyBorder="1" applyAlignment="1">
      <alignment horizontal="center" wrapText="1"/>
    </xf>
    <xf numFmtId="0" fontId="0" fillId="2" borderId="18" xfId="0" applyFont="1" applyFill="1" applyBorder="1" applyAlignment="1">
      <alignment/>
    </xf>
    <xf numFmtId="0" fontId="0" fillId="2" borderId="16" xfId="0" applyFont="1" applyFill="1" applyBorder="1" applyAlignment="1">
      <alignment/>
    </xf>
    <xf numFmtId="0" fontId="0" fillId="2" borderId="19" xfId="0" applyFont="1" applyFill="1" applyBorder="1" applyAlignment="1">
      <alignment/>
    </xf>
    <xf numFmtId="0" fontId="0" fillId="2" borderId="16" xfId="0" applyFont="1" applyFill="1" applyBorder="1" applyAlignment="1">
      <alignment horizontal="center" vertical="top"/>
    </xf>
    <xf numFmtId="0" fontId="0" fillId="2" borderId="20" xfId="0" applyFont="1" applyFill="1" applyBorder="1" applyAlignment="1">
      <alignment horizontal="center"/>
    </xf>
    <xf numFmtId="170" fontId="0" fillId="2" borderId="9" xfId="0" applyNumberFormat="1" applyFont="1" applyFill="1" applyBorder="1" applyAlignment="1">
      <alignment/>
    </xf>
    <xf numFmtId="165" fontId="0" fillId="2" borderId="0" xfId="17" applyNumberFormat="1" applyFont="1" applyFill="1" applyBorder="1" applyAlignment="1">
      <alignment/>
    </xf>
    <xf numFmtId="0" fontId="0" fillId="2" borderId="21" xfId="0" applyFont="1" applyFill="1" applyBorder="1" applyAlignment="1">
      <alignment/>
    </xf>
    <xf numFmtId="9" fontId="0" fillId="2" borderId="0" xfId="21" applyFont="1" applyFill="1" applyBorder="1" applyAlignment="1">
      <alignment/>
    </xf>
    <xf numFmtId="170" fontId="0" fillId="2" borderId="10" xfId="0" applyNumberFormat="1" applyFont="1" applyFill="1" applyBorder="1" applyAlignment="1">
      <alignment/>
    </xf>
    <xf numFmtId="165" fontId="0" fillId="2" borderId="9" xfId="17" applyNumberFormat="1" applyFont="1" applyFill="1" applyBorder="1" applyAlignment="1">
      <alignment/>
    </xf>
    <xf numFmtId="165" fontId="0" fillId="2" borderId="21" xfId="0" applyNumberFormat="1" applyFont="1" applyFill="1" applyBorder="1" applyAlignment="1">
      <alignment/>
    </xf>
    <xf numFmtId="165" fontId="0" fillId="2" borderId="10" xfId="0" applyNumberFormat="1" applyFont="1" applyFill="1" applyBorder="1" applyAlignment="1">
      <alignment/>
    </xf>
    <xf numFmtId="165" fontId="0" fillId="2" borderId="21" xfId="17" applyNumberFormat="1" applyFont="1" applyFill="1" applyBorder="1" applyAlignment="1">
      <alignment/>
    </xf>
    <xf numFmtId="44" fontId="0" fillId="0" borderId="22" xfId="17" applyBorder="1" applyAlignment="1">
      <alignment/>
    </xf>
    <xf numFmtId="165" fontId="0" fillId="2" borderId="18" xfId="17" applyNumberFormat="1" applyFont="1" applyFill="1" applyBorder="1" applyAlignment="1">
      <alignment/>
    </xf>
    <xf numFmtId="165" fontId="0" fillId="2" borderId="16" xfId="17" applyNumberFormat="1" applyFont="1" applyFill="1" applyBorder="1" applyAlignment="1">
      <alignment/>
    </xf>
    <xf numFmtId="165" fontId="0" fillId="2" borderId="19" xfId="17" applyNumberFormat="1" applyFont="1" applyFill="1" applyBorder="1" applyAlignment="1">
      <alignment/>
    </xf>
    <xf numFmtId="167" fontId="0" fillId="2" borderId="16" xfId="21" applyNumberFormat="1" applyFont="1" applyFill="1" applyBorder="1" applyAlignment="1">
      <alignment/>
    </xf>
    <xf numFmtId="165" fontId="0" fillId="2" borderId="20" xfId="0" applyNumberFormat="1" applyFont="1" applyFill="1" applyBorder="1" applyAlignment="1">
      <alignment/>
    </xf>
    <xf numFmtId="0" fontId="0" fillId="0" borderId="0" xfId="0" applyAlignment="1">
      <alignment horizontal="left" vertical="top"/>
    </xf>
    <xf numFmtId="0" fontId="0" fillId="2" borderId="0" xfId="0" applyFill="1" applyBorder="1" applyAlignment="1">
      <alignment/>
    </xf>
    <xf numFmtId="0" fontId="0" fillId="0" borderId="0" xfId="0" applyFont="1" applyBorder="1" applyAlignment="1">
      <alignment horizontal="left" indent="2"/>
    </xf>
    <xf numFmtId="44" fontId="0" fillId="0" borderId="0" xfId="17" applyFont="1" applyBorder="1" applyAlignment="1">
      <alignment/>
    </xf>
    <xf numFmtId="44" fontId="0" fillId="0" borderId="0" xfId="0" applyNumberFormat="1" applyFont="1" applyBorder="1" applyAlignment="1">
      <alignment/>
    </xf>
    <xf numFmtId="44" fontId="0" fillId="0" borderId="0" xfId="17" applyFont="1" applyBorder="1" applyAlignment="1" applyProtection="1">
      <alignment/>
      <protection locked="0"/>
    </xf>
    <xf numFmtId="0" fontId="0" fillId="0" borderId="0" xfId="0" applyFont="1" applyFill="1" applyBorder="1" applyAlignment="1">
      <alignment horizontal="left"/>
    </xf>
    <xf numFmtId="44" fontId="0" fillId="0" borderId="0" xfId="17" applyFont="1" applyFill="1" applyBorder="1" applyAlignment="1" applyProtection="1">
      <alignment/>
      <protection locked="0"/>
    </xf>
    <xf numFmtId="0" fontId="0" fillId="2" borderId="0" xfId="0" applyFont="1" applyFill="1" applyBorder="1" applyAlignment="1">
      <alignment/>
    </xf>
    <xf numFmtId="0" fontId="0" fillId="0" borderId="0" xfId="0" applyBorder="1" applyAlignment="1">
      <alignment horizontal="left" indent="2"/>
    </xf>
    <xf numFmtId="0" fontId="0" fillId="0" borderId="0" xfId="0" applyFont="1" applyFill="1" applyBorder="1" applyAlignment="1">
      <alignment wrapText="1"/>
    </xf>
    <xf numFmtId="0" fontId="15" fillId="0" borderId="0" xfId="0" applyFont="1" applyAlignment="1">
      <alignment horizontal="left" vertical="top"/>
    </xf>
    <xf numFmtId="0" fontId="15" fillId="0" borderId="0" xfId="0" applyFont="1" applyAlignment="1">
      <alignment/>
    </xf>
    <xf numFmtId="0" fontId="13" fillId="2" borderId="23" xfId="0" applyFont="1" applyFill="1" applyBorder="1" applyAlignment="1">
      <alignment wrapText="1"/>
    </xf>
    <xf numFmtId="0" fontId="13" fillId="2" borderId="24" xfId="0" applyFont="1" applyFill="1" applyBorder="1" applyAlignment="1">
      <alignment horizontal="center" wrapText="1"/>
    </xf>
    <xf numFmtId="0" fontId="13" fillId="2" borderId="25" xfId="0" applyFont="1" applyFill="1" applyBorder="1" applyAlignment="1">
      <alignment horizontal="center" wrapText="1"/>
    </xf>
    <xf numFmtId="0" fontId="15" fillId="0" borderId="26" xfId="0" applyFont="1" applyBorder="1" applyAlignment="1">
      <alignment/>
    </xf>
    <xf numFmtId="165" fontId="15" fillId="0" borderId="27" xfId="17" applyNumberFormat="1" applyFont="1" applyBorder="1" applyAlignment="1" applyProtection="1">
      <alignment/>
      <protection locked="0"/>
    </xf>
    <xf numFmtId="2" fontId="15" fillId="0" borderId="27" xfId="0" applyNumberFormat="1" applyFont="1" applyBorder="1" applyAlignment="1" applyProtection="1">
      <alignment/>
      <protection locked="0"/>
    </xf>
    <xf numFmtId="9" fontId="15" fillId="0" borderId="27" xfId="21" applyFont="1" applyBorder="1" applyAlignment="1" applyProtection="1">
      <alignment/>
      <protection locked="0"/>
    </xf>
    <xf numFmtId="8" fontId="15" fillId="0" borderId="28" xfId="0" applyNumberFormat="1" applyFont="1" applyBorder="1" applyAlignment="1">
      <alignment/>
    </xf>
    <xf numFmtId="0" fontId="15" fillId="0" borderId="29" xfId="0" applyFont="1" applyBorder="1" applyAlignment="1">
      <alignment/>
    </xf>
    <xf numFmtId="165" fontId="15" fillId="0" borderId="30" xfId="17" applyNumberFormat="1" applyFont="1" applyBorder="1" applyAlignment="1" applyProtection="1">
      <alignment/>
      <protection locked="0"/>
    </xf>
    <xf numFmtId="2" fontId="15" fillId="0" borderId="30" xfId="0" applyNumberFormat="1" applyFont="1" applyBorder="1" applyAlignment="1" applyProtection="1">
      <alignment/>
      <protection locked="0"/>
    </xf>
    <xf numFmtId="9" fontId="15" fillId="0" borderId="30" xfId="21" applyFont="1" applyBorder="1" applyAlignment="1" applyProtection="1">
      <alignment/>
      <protection locked="0"/>
    </xf>
    <xf numFmtId="8" fontId="15" fillId="0" borderId="31" xfId="0" applyNumberFormat="1" applyFont="1" applyBorder="1" applyAlignment="1">
      <alignment/>
    </xf>
    <xf numFmtId="0" fontId="15" fillId="0" borderId="0" xfId="0" applyFont="1" applyBorder="1" applyAlignment="1">
      <alignment/>
    </xf>
    <xf numFmtId="8" fontId="15" fillId="0" borderId="0" xfId="0" applyNumberFormat="1" applyFont="1" applyBorder="1" applyAlignment="1">
      <alignment/>
    </xf>
    <xf numFmtId="0" fontId="15" fillId="0" borderId="16" xfId="0" applyFont="1" applyBorder="1" applyAlignment="1">
      <alignment/>
    </xf>
    <xf numFmtId="0" fontId="13" fillId="2" borderId="32" xfId="0" applyFont="1" applyFill="1" applyBorder="1" applyAlignment="1">
      <alignment/>
    </xf>
    <xf numFmtId="0" fontId="13" fillId="2" borderId="5" xfId="0" applyFont="1" applyFill="1" applyBorder="1" applyAlignment="1">
      <alignment horizontal="center" wrapText="1"/>
    </xf>
    <xf numFmtId="0" fontId="13" fillId="2" borderId="33" xfId="0" applyFont="1" applyFill="1" applyBorder="1" applyAlignment="1">
      <alignment horizontal="center" wrapText="1"/>
    </xf>
    <xf numFmtId="0" fontId="15" fillId="0" borderId="7" xfId="0" applyFont="1" applyBorder="1" applyAlignment="1">
      <alignment/>
    </xf>
    <xf numFmtId="8" fontId="15" fillId="0" borderId="7" xfId="0" applyNumberFormat="1" applyFont="1" applyBorder="1" applyAlignment="1">
      <alignment/>
    </xf>
    <xf numFmtId="0" fontId="13" fillId="2" borderId="23" xfId="0" applyFont="1" applyFill="1" applyBorder="1" applyAlignment="1">
      <alignment/>
    </xf>
    <xf numFmtId="8" fontId="15" fillId="0" borderId="0" xfId="0" applyNumberFormat="1" applyFont="1" applyAlignment="1">
      <alignment/>
    </xf>
    <xf numFmtId="0" fontId="13" fillId="0" borderId="0" xfId="0" applyFont="1" applyBorder="1" applyAlignment="1">
      <alignment wrapText="1"/>
    </xf>
    <xf numFmtId="44" fontId="13" fillId="0" borderId="6" xfId="17" applyFont="1" applyBorder="1" applyAlignment="1">
      <alignment horizontal="center"/>
    </xf>
    <xf numFmtId="0" fontId="16" fillId="2" borderId="7" xfId="0" applyFont="1" applyFill="1" applyBorder="1" applyAlignment="1">
      <alignment horizontal="center"/>
    </xf>
    <xf numFmtId="0" fontId="0" fillId="2" borderId="7" xfId="0" applyFill="1" applyBorder="1" applyAlignment="1">
      <alignment horizontal="center"/>
    </xf>
    <xf numFmtId="0" fontId="0" fillId="0" borderId="9" xfId="0" applyBorder="1" applyAlignment="1">
      <alignment horizontal="left" indent="2"/>
    </xf>
    <xf numFmtId="0" fontId="14" fillId="0" borderId="9" xfId="0" applyFont="1" applyBorder="1" applyAlignment="1">
      <alignment/>
    </xf>
    <xf numFmtId="0" fontId="0" fillId="0" borderId="9" xfId="0"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Border="1" applyAlignment="1">
      <alignment horizontal="left"/>
    </xf>
    <xf numFmtId="44" fontId="0" fillId="0" borderId="0" xfId="17" applyBorder="1" applyAlignment="1" applyProtection="1">
      <alignment/>
      <protection locked="0"/>
    </xf>
    <xf numFmtId="0" fontId="0" fillId="0" borderId="0" xfId="0" applyBorder="1" applyAlignment="1" applyProtection="1">
      <alignment/>
      <protection locked="0"/>
    </xf>
    <xf numFmtId="0" fontId="14" fillId="0" borderId="0" xfId="0" applyFont="1" applyBorder="1" applyAlignment="1">
      <alignment/>
    </xf>
    <xf numFmtId="0" fontId="0" fillId="0" borderId="18" xfId="0" applyBorder="1" applyAlignment="1">
      <alignment/>
    </xf>
    <xf numFmtId="44" fontId="0" fillId="0" borderId="16" xfId="17" applyBorder="1" applyAlignment="1">
      <alignment/>
    </xf>
    <xf numFmtId="0" fontId="0" fillId="0" borderId="20" xfId="0" applyBorder="1" applyAlignment="1">
      <alignment/>
    </xf>
    <xf numFmtId="8" fontId="0" fillId="0" borderId="0" xfId="0" applyNumberFormat="1" applyFont="1" applyBorder="1" applyAlignment="1">
      <alignment/>
    </xf>
    <xf numFmtId="8" fontId="0" fillId="0" borderId="13" xfId="0" applyNumberFormat="1" applyFont="1" applyBorder="1" applyAlignment="1">
      <alignment/>
    </xf>
    <xf numFmtId="44" fontId="0" fillId="0" borderId="13" xfId="17" applyFont="1" applyBorder="1" applyAlignment="1">
      <alignment/>
    </xf>
    <xf numFmtId="0" fontId="3" fillId="0" borderId="0" xfId="0" applyFont="1" applyBorder="1" applyAlignment="1">
      <alignment horizontal="left"/>
    </xf>
    <xf numFmtId="0" fontId="0" fillId="0" borderId="13" xfId="0" applyFont="1" applyBorder="1" applyAlignment="1">
      <alignment horizontal="left" indent="2"/>
    </xf>
    <xf numFmtId="4" fontId="0" fillId="0" borderId="0" xfId="0" applyNumberFormat="1" applyAlignment="1">
      <alignment/>
    </xf>
    <xf numFmtId="8" fontId="0" fillId="0" borderId="0" xfId="17" applyNumberFormat="1" applyFont="1" applyBorder="1" applyAlignment="1" applyProtection="1">
      <alignment/>
      <protection locked="0"/>
    </xf>
    <xf numFmtId="44" fontId="3" fillId="0" borderId="0" xfId="17" applyFont="1" applyBorder="1" applyAlignment="1" applyProtection="1">
      <alignment/>
      <protection locked="0"/>
    </xf>
    <xf numFmtId="0" fontId="13" fillId="8" borderId="34" xfId="0" applyFont="1" applyFill="1" applyBorder="1" applyAlignment="1">
      <alignment horizontal="left" vertical="top"/>
    </xf>
    <xf numFmtId="0" fontId="13" fillId="2" borderId="24" xfId="0" applyFont="1" applyFill="1" applyBorder="1" applyAlignment="1">
      <alignment horizontal="left" wrapText="1"/>
    </xf>
    <xf numFmtId="44" fontId="0" fillId="0" borderId="0" xfId="0" applyNumberFormat="1" applyFont="1" applyAlignment="1">
      <alignment wrapText="1"/>
    </xf>
    <xf numFmtId="0" fontId="0" fillId="0" borderId="13" xfId="0" applyFont="1" applyBorder="1" applyAlignment="1">
      <alignment/>
    </xf>
    <xf numFmtId="44" fontId="3" fillId="0" borderId="0" xfId="17" applyFont="1" applyBorder="1" applyAlignment="1">
      <alignment/>
    </xf>
    <xf numFmtId="0" fontId="3" fillId="8" borderId="35" xfId="0" applyFont="1" applyFill="1" applyBorder="1" applyAlignment="1">
      <alignment/>
    </xf>
    <xf numFmtId="44" fontId="3" fillId="8" borderId="35" xfId="17" applyFont="1" applyFill="1" applyBorder="1" applyAlignment="1">
      <alignment/>
    </xf>
    <xf numFmtId="44" fontId="3" fillId="8" borderId="36" xfId="17" applyFont="1" applyFill="1" applyBorder="1" applyAlignment="1">
      <alignment/>
    </xf>
    <xf numFmtId="0" fontId="3" fillId="9" borderId="0" xfId="0" applyFont="1" applyFill="1" applyAlignment="1">
      <alignment/>
    </xf>
    <xf numFmtId="0" fontId="3" fillId="9" borderId="6" xfId="0" applyFont="1" applyFill="1" applyBorder="1" applyAlignment="1">
      <alignment horizontal="center"/>
    </xf>
    <xf numFmtId="0" fontId="3" fillId="5" borderId="6" xfId="0" applyFont="1" applyFill="1" applyBorder="1" applyAlignment="1">
      <alignment horizontal="center"/>
    </xf>
    <xf numFmtId="165" fontId="0" fillId="10" borderId="6" xfId="17" applyNumberFormat="1" applyFill="1" applyBorder="1" applyAlignment="1">
      <alignment/>
    </xf>
    <xf numFmtId="0" fontId="0" fillId="4" borderId="37" xfId="0" applyFill="1" applyBorder="1" applyAlignment="1">
      <alignment horizontal="center"/>
    </xf>
    <xf numFmtId="0" fontId="3" fillId="2" borderId="38" xfId="0" applyFont="1" applyFill="1" applyBorder="1" applyAlignment="1">
      <alignment horizontal="center"/>
    </xf>
    <xf numFmtId="165" fontId="0" fillId="3" borderId="38" xfId="17" applyNumberFormat="1" applyFill="1" applyBorder="1" applyAlignment="1">
      <alignment/>
    </xf>
    <xf numFmtId="9" fontId="3" fillId="0" borderId="39" xfId="21" applyFont="1" applyBorder="1" applyAlignment="1">
      <alignment horizontal="center"/>
    </xf>
    <xf numFmtId="0" fontId="0" fillId="4" borderId="40" xfId="0" applyFill="1" applyBorder="1" applyAlignment="1">
      <alignment horizontal="center"/>
    </xf>
    <xf numFmtId="0" fontId="3" fillId="2" borderId="41" xfId="0" applyFont="1" applyFill="1" applyBorder="1" applyAlignment="1">
      <alignment horizontal="center"/>
    </xf>
    <xf numFmtId="0" fontId="0" fillId="4" borderId="42" xfId="0" applyFill="1" applyBorder="1" applyAlignment="1">
      <alignment horizontal="center"/>
    </xf>
    <xf numFmtId="0" fontId="0" fillId="4" borderId="43" xfId="0" applyFill="1" applyBorder="1" applyAlignment="1">
      <alignment horizontal="center"/>
    </xf>
    <xf numFmtId="0" fontId="0" fillId="4" borderId="44" xfId="0" applyFill="1" applyBorder="1" applyAlignment="1">
      <alignment horizontal="center"/>
    </xf>
    <xf numFmtId="0" fontId="3" fillId="2" borderId="45" xfId="0" applyFont="1" applyFill="1" applyBorder="1" applyAlignment="1">
      <alignment horizontal="center"/>
    </xf>
    <xf numFmtId="0" fontId="3" fillId="8" borderId="46" xfId="0" applyFont="1" applyFill="1" applyBorder="1" applyAlignment="1">
      <alignment horizontal="center"/>
    </xf>
    <xf numFmtId="165" fontId="0" fillId="0" borderId="45" xfId="17" applyNumberFormat="1" applyBorder="1" applyAlignment="1">
      <alignment/>
    </xf>
    <xf numFmtId="165" fontId="0" fillId="0" borderId="46" xfId="17" applyNumberFormat="1" applyBorder="1" applyAlignment="1">
      <alignment/>
    </xf>
    <xf numFmtId="165" fontId="0" fillId="3" borderId="45" xfId="17" applyNumberFormat="1" applyFill="1" applyBorder="1" applyAlignment="1">
      <alignment/>
    </xf>
    <xf numFmtId="165" fontId="0" fillId="3" borderId="46" xfId="17" applyNumberFormat="1" applyFill="1" applyBorder="1" applyAlignment="1">
      <alignment/>
    </xf>
    <xf numFmtId="9" fontId="3" fillId="0" borderId="47" xfId="21" applyNumberFormat="1" applyFont="1" applyBorder="1" applyAlignment="1">
      <alignment horizontal="center"/>
    </xf>
    <xf numFmtId="9" fontId="3" fillId="0" borderId="48" xfId="21" applyFont="1" applyBorder="1" applyAlignment="1">
      <alignment horizontal="center"/>
    </xf>
    <xf numFmtId="9" fontId="3" fillId="0" borderId="49" xfId="21" applyFont="1" applyBorder="1" applyAlignment="1">
      <alignment horizontal="center"/>
    </xf>
    <xf numFmtId="0" fontId="3" fillId="11" borderId="6" xfId="0" applyFont="1" applyFill="1" applyBorder="1" applyAlignment="1">
      <alignment horizontal="left"/>
    </xf>
    <xf numFmtId="0" fontId="0" fillId="4" borderId="4" xfId="0" applyFill="1" applyBorder="1" applyAlignment="1">
      <alignment horizontal="center"/>
    </xf>
    <xf numFmtId="0" fontId="0" fillId="12" borderId="1" xfId="0" applyFill="1" applyBorder="1" applyAlignment="1">
      <alignment horizontal="right"/>
    </xf>
    <xf numFmtId="10" fontId="0" fillId="12" borderId="8" xfId="21" applyNumberFormat="1" applyFill="1" applyBorder="1" applyAlignment="1">
      <alignment/>
    </xf>
    <xf numFmtId="44" fontId="4" fillId="0" borderId="0" xfId="17" applyFont="1"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44" fontId="0" fillId="0" borderId="0" xfId="0" applyNumberFormat="1" applyFill="1" applyBorder="1" applyAlignment="1">
      <alignment/>
    </xf>
    <xf numFmtId="44" fontId="0" fillId="0" borderId="0" xfId="0" applyNumberFormat="1" applyFill="1" applyBorder="1" applyAlignment="1">
      <alignment/>
    </xf>
    <xf numFmtId="44" fontId="0" fillId="0" borderId="0" xfId="17" applyFill="1" applyBorder="1" applyAlignment="1">
      <alignment/>
    </xf>
    <xf numFmtId="164" fontId="3" fillId="0" borderId="0" xfId="0" applyNumberFormat="1" applyFont="1" applyAlignment="1">
      <alignment/>
    </xf>
    <xf numFmtId="164" fontId="1" fillId="0" borderId="0" xfId="0" applyNumberFormat="1" applyFont="1" applyAlignment="1">
      <alignment/>
    </xf>
    <xf numFmtId="0" fontId="0" fillId="12" borderId="0" xfId="0" applyFill="1" applyBorder="1" applyAlignment="1">
      <alignment/>
    </xf>
    <xf numFmtId="165" fontId="0" fillId="13" borderId="6" xfId="17" applyNumberFormat="1" applyFill="1" applyBorder="1" applyAlignment="1">
      <alignment/>
    </xf>
    <xf numFmtId="165" fontId="0" fillId="13" borderId="6" xfId="17" applyNumberFormat="1" applyFont="1" applyFill="1" applyBorder="1" applyAlignment="1">
      <alignment/>
    </xf>
    <xf numFmtId="0" fontId="0" fillId="0" borderId="0" xfId="0" applyFill="1" applyBorder="1" applyAlignment="1">
      <alignment horizontal="right"/>
    </xf>
    <xf numFmtId="10" fontId="0" fillId="0" borderId="0" xfId="21" applyNumberFormat="1" applyFont="1" applyFill="1" applyBorder="1" applyAlignment="1">
      <alignment/>
    </xf>
    <xf numFmtId="0" fontId="0" fillId="0" borderId="50" xfId="0" applyBorder="1" applyAlignment="1">
      <alignment horizontal="right"/>
    </xf>
    <xf numFmtId="0" fontId="0" fillId="0" borderId="51" xfId="0" applyBorder="1" applyAlignment="1">
      <alignment horizontal="right"/>
    </xf>
    <xf numFmtId="0" fontId="0" fillId="14" borderId="18" xfId="0" applyFill="1" applyBorder="1" applyAlignment="1">
      <alignment horizontal="right"/>
    </xf>
    <xf numFmtId="10" fontId="0" fillId="14" borderId="20" xfId="21" applyNumberFormat="1" applyFont="1" applyFill="1" applyBorder="1" applyAlignment="1">
      <alignment/>
    </xf>
    <xf numFmtId="0" fontId="3" fillId="0" borderId="0" xfId="0" applyFont="1" applyFill="1" applyBorder="1" applyAlignment="1">
      <alignment horizontal="left"/>
    </xf>
    <xf numFmtId="0" fontId="0" fillId="0" borderId="0" xfId="0" applyFill="1" applyAlignment="1">
      <alignment/>
    </xf>
    <xf numFmtId="0" fontId="3" fillId="11" borderId="18" xfId="0" applyFont="1" applyFill="1" applyBorder="1" applyAlignment="1">
      <alignment horizontal="left"/>
    </xf>
    <xf numFmtId="44" fontId="0" fillId="11" borderId="16" xfId="0" applyNumberFormat="1" applyFill="1" applyBorder="1" applyAlignment="1">
      <alignment/>
    </xf>
    <xf numFmtId="44" fontId="0" fillId="11" borderId="16" xfId="17" applyFill="1" applyBorder="1" applyAlignment="1">
      <alignment/>
    </xf>
    <xf numFmtId="44" fontId="0" fillId="11" borderId="20" xfId="17" applyFill="1" applyBorder="1" applyAlignment="1">
      <alignment/>
    </xf>
    <xf numFmtId="0" fontId="3" fillId="15" borderId="6" xfId="0" applyFont="1" applyFill="1" applyBorder="1" applyAlignment="1">
      <alignment horizontal="left"/>
    </xf>
    <xf numFmtId="0" fontId="3" fillId="15" borderId="18" xfId="0" applyFont="1" applyFill="1" applyBorder="1" applyAlignment="1">
      <alignment horizontal="left"/>
    </xf>
    <xf numFmtId="44" fontId="0" fillId="15" borderId="16" xfId="0" applyNumberFormat="1" applyFill="1" applyBorder="1" applyAlignment="1">
      <alignment/>
    </xf>
    <xf numFmtId="44" fontId="0" fillId="15" borderId="16" xfId="17" applyFill="1" applyBorder="1" applyAlignment="1">
      <alignment/>
    </xf>
    <xf numFmtId="44" fontId="0" fillId="15" borderId="20" xfId="17" applyFill="1" applyBorder="1" applyAlignment="1">
      <alignment/>
    </xf>
    <xf numFmtId="44" fontId="0" fillId="0" borderId="12" xfId="0" applyNumberFormat="1" applyBorder="1" applyAlignment="1">
      <alignment/>
    </xf>
    <xf numFmtId="44" fontId="0" fillId="15" borderId="52" xfId="17" applyFill="1" applyBorder="1" applyAlignment="1">
      <alignment/>
    </xf>
    <xf numFmtId="165" fontId="0" fillId="0" borderId="15" xfId="17" applyNumberFormat="1" applyBorder="1" applyAlignment="1">
      <alignment/>
    </xf>
    <xf numFmtId="165" fontId="0" fillId="16" borderId="6" xfId="17" applyNumberFormat="1" applyFill="1" applyBorder="1" applyAlignment="1">
      <alignment/>
    </xf>
    <xf numFmtId="165" fontId="0" fillId="0" borderId="6" xfId="17" applyNumberFormat="1" applyFill="1" applyBorder="1" applyAlignment="1">
      <alignment/>
    </xf>
    <xf numFmtId="0" fontId="3" fillId="0" borderId="51" xfId="0" applyFont="1" applyBorder="1" applyAlignment="1">
      <alignment horizontal="right"/>
    </xf>
    <xf numFmtId="165" fontId="3" fillId="0" borderId="53" xfId="17" applyNumberFormat="1" applyFont="1" applyFill="1" applyBorder="1" applyAlignment="1">
      <alignment/>
    </xf>
    <xf numFmtId="165" fontId="3" fillId="0" borderId="8" xfId="17" applyNumberFormat="1" applyFont="1" applyFill="1" applyBorder="1" applyAlignment="1">
      <alignment/>
    </xf>
    <xf numFmtId="165" fontId="0" fillId="0" borderId="54" xfId="17" applyNumberFormat="1" applyFill="1" applyBorder="1" applyAlignment="1">
      <alignment/>
    </xf>
    <xf numFmtId="165" fontId="0" fillId="0" borderId="55" xfId="17" applyNumberFormat="1" applyFill="1" applyBorder="1" applyAlignment="1">
      <alignment/>
    </xf>
    <xf numFmtId="0" fontId="0" fillId="0" borderId="1" xfId="0"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44" fontId="0" fillId="8" borderId="0" xfId="0" applyNumberFormat="1" applyFill="1" applyBorder="1" applyAlignment="1">
      <alignment/>
    </xf>
    <xf numFmtId="44" fontId="0" fillId="16" borderId="6" xfId="0" applyNumberFormat="1" applyFill="1" applyBorder="1" applyAlignment="1">
      <alignment/>
    </xf>
    <xf numFmtId="44" fontId="0" fillId="8" borderId="10" xfId="0" applyNumberFormat="1" applyFill="1" applyBorder="1" applyAlignment="1">
      <alignment/>
    </xf>
    <xf numFmtId="172" fontId="0" fillId="0" borderId="0" xfId="21" applyNumberFormat="1" applyBorder="1" applyAlignment="1">
      <alignment/>
    </xf>
    <xf numFmtId="172" fontId="0" fillId="0" borderId="10" xfId="21" applyNumberFormat="1" applyBorder="1" applyAlignment="1">
      <alignment/>
    </xf>
    <xf numFmtId="44" fontId="0" fillId="6" borderId="10" xfId="17" applyFill="1" applyBorder="1" applyAlignment="1">
      <alignment/>
    </xf>
    <xf numFmtId="0" fontId="3" fillId="0" borderId="18" xfId="0" applyFont="1" applyBorder="1" applyAlignment="1">
      <alignment/>
    </xf>
    <xf numFmtId="44" fontId="0" fillId="0" borderId="16" xfId="0" applyNumberFormat="1" applyBorder="1" applyAlignment="1">
      <alignment/>
    </xf>
    <xf numFmtId="44" fontId="0" fillId="0" borderId="20" xfId="0" applyNumberFormat="1" applyBorder="1" applyAlignment="1">
      <alignment/>
    </xf>
    <xf numFmtId="0" fontId="3" fillId="0" borderId="0" xfId="0" applyFont="1" applyAlignment="1">
      <alignment/>
    </xf>
    <xf numFmtId="17" fontId="0" fillId="0" borderId="0" xfId="0" applyNumberFormat="1" applyAlignment="1">
      <alignment/>
    </xf>
    <xf numFmtId="172" fontId="0" fillId="0" borderId="0" xfId="21" applyNumberFormat="1" applyAlignment="1">
      <alignment/>
    </xf>
    <xf numFmtId="44" fontId="0" fillId="6" borderId="0" xfId="17" applyFill="1" applyAlignment="1">
      <alignment/>
    </xf>
    <xf numFmtId="0" fontId="0" fillId="0" borderId="0" xfId="0" applyFill="1" applyBorder="1" applyAlignment="1">
      <alignment/>
    </xf>
    <xf numFmtId="0" fontId="13" fillId="2" borderId="56" xfId="0" applyFont="1" applyFill="1" applyBorder="1" applyAlignment="1">
      <alignment horizontal="center"/>
    </xf>
    <xf numFmtId="0" fontId="0" fillId="2" borderId="57" xfId="0" applyFill="1" applyBorder="1" applyAlignment="1">
      <alignment horizontal="center"/>
    </xf>
    <xf numFmtId="0" fontId="0" fillId="2" borderId="55" xfId="0" applyFill="1" applyBorder="1" applyAlignment="1">
      <alignment horizontal="center"/>
    </xf>
    <xf numFmtId="0" fontId="5" fillId="0" borderId="56" xfId="0" applyFont="1"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12" fillId="0" borderId="1"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11" borderId="1" xfId="0" applyFont="1" applyFill="1" applyBorder="1" applyAlignment="1">
      <alignment/>
    </xf>
    <xf numFmtId="0" fontId="5" fillId="11" borderId="7" xfId="0" applyFont="1" applyFill="1" applyBorder="1" applyAlignment="1">
      <alignment/>
    </xf>
    <xf numFmtId="0" fontId="5" fillId="11" borderId="8" xfId="0" applyFont="1" applyFill="1" applyBorder="1" applyAlignment="1">
      <alignment/>
    </xf>
    <xf numFmtId="0" fontId="5" fillId="11" borderId="18" xfId="0" applyFont="1" applyFill="1" applyBorder="1" applyAlignment="1">
      <alignment/>
    </xf>
    <xf numFmtId="0" fontId="5" fillId="11" borderId="16" xfId="0" applyFont="1" applyFill="1" applyBorder="1" applyAlignment="1">
      <alignment/>
    </xf>
    <xf numFmtId="0" fontId="5" fillId="11" borderId="20" xfId="0" applyFont="1" applyFill="1" applyBorder="1" applyAlignment="1">
      <alignment/>
    </xf>
    <xf numFmtId="0" fontId="16" fillId="11" borderId="7" xfId="0" applyFont="1" applyFill="1" applyBorder="1" applyAlignment="1">
      <alignment/>
    </xf>
    <xf numFmtId="0" fontId="16" fillId="11" borderId="8" xfId="0" applyFont="1" applyFill="1" applyBorder="1" applyAlignment="1">
      <alignment/>
    </xf>
    <xf numFmtId="0" fontId="16" fillId="11" borderId="18" xfId="0" applyFont="1" applyFill="1" applyBorder="1" applyAlignment="1">
      <alignment/>
    </xf>
    <xf numFmtId="0" fontId="16" fillId="11" borderId="16" xfId="0" applyFont="1" applyFill="1" applyBorder="1" applyAlignment="1">
      <alignment/>
    </xf>
    <xf numFmtId="0" fontId="16" fillId="11" borderId="2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00FF00"/>
        </patternFill>
      </fill>
      <border/>
    </dxf>
    <dxf>
      <font>
        <color auto="1"/>
      </font>
      <fill>
        <patternFill>
          <bgColor rgb="FFFFFF00"/>
        </patternFill>
      </fill>
      <border/>
    </dxf>
    <dxf>
      <fill>
        <patternFill>
          <bgColor rgb="FFFF0000"/>
        </patternFill>
      </fill>
      <border/>
    </dxf>
    <dxf>
      <font>
        <color rgb="FFFF0000"/>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Value of Roth IRA (Age 60)</a:t>
            </a:r>
          </a:p>
        </c:rich>
      </c:tx>
      <c:layout/>
      <c:spPr>
        <a:noFill/>
        <a:ln>
          <a:noFill/>
        </a:ln>
      </c:spPr>
    </c:title>
    <c:plotArea>
      <c:layout>
        <c:manualLayout>
          <c:xMode val="edge"/>
          <c:yMode val="edge"/>
          <c:x val="0.0085"/>
          <c:y val="0.10525"/>
          <c:w val="0.95925"/>
          <c:h val="0.8785"/>
        </c:manualLayout>
      </c:layout>
      <c:barChart>
        <c:barDir val="col"/>
        <c:grouping val="clustered"/>
        <c:varyColors val="0"/>
        <c:ser>
          <c:idx val="0"/>
          <c:order val="0"/>
          <c:tx>
            <c:strRef>
              <c:f>'Use of Cow Loan'!$A$62</c:f>
              <c:strCache>
                <c:ptCount val="1"/>
                <c:pt idx="0">
                  <c:v>Fully Funded Roth IRA (Benchmark) - BEST CASE</c:v>
                </c:pt>
              </c:strCache>
            </c:strRef>
          </c:tx>
          <c:spPr>
            <a:solidFill>
              <a:srgbClr val="FFFF99"/>
            </a:solidFill>
          </c:spPr>
          <c:invertIfNegative val="0"/>
          <c:extLst>
            <c:ext xmlns:c14="http://schemas.microsoft.com/office/drawing/2007/8/2/chart" uri="{6F2FDCE9-48DA-4B69-8628-5D25D57E5C99}">
              <c14:invertSolidFillFmt>
                <c14:spPr>
                  <a:solidFill>
                    <a:srgbClr val="C0C0C0"/>
                  </a:solidFill>
                </c14:spPr>
              </c14:invertSolidFillFmt>
            </c:ext>
          </c:extLst>
          <c:cat>
            <c:strLit>
              <c:ptCount val="1"/>
              <c:pt idx="0">
                <c:v>Value at Age 60</c:v>
              </c:pt>
            </c:strLit>
          </c:cat>
          <c:val>
            <c:numRef>
              <c:f>'Use of Cow Loan'!$AP$65</c:f>
              <c:numCache/>
            </c:numRef>
          </c:val>
        </c:ser>
        <c:ser>
          <c:idx val="1"/>
          <c:order val="1"/>
          <c:tx>
            <c:strRef>
              <c:f>'Use of Cow Loan'!$A$67</c:f>
              <c:strCache>
                <c:ptCount val="1"/>
                <c:pt idx="0">
                  <c:v>START AFTER PROMOTION TO 1LT</c:v>
                </c:pt>
              </c:strCache>
            </c:strRef>
          </c:tx>
          <c:spPr>
            <a:solidFill>
              <a:srgbClr val="FF99CC"/>
            </a:solidFill>
          </c:spPr>
          <c:invertIfNegative val="0"/>
          <c:extLst>
            <c:ext xmlns:c14="http://schemas.microsoft.com/office/drawing/2007/8/2/chart" uri="{6F2FDCE9-48DA-4B69-8628-5D25D57E5C99}">
              <c14:invertSolidFillFmt>
                <c14:spPr>
                  <a:solidFill>
                    <a:srgbClr val="C0C0C0"/>
                  </a:solidFill>
                </c14:spPr>
              </c14:invertSolidFillFmt>
            </c:ext>
          </c:extLst>
          <c:cat>
            <c:strLit>
              <c:ptCount val="1"/>
              <c:pt idx="0">
                <c:v>Value at Age 60</c:v>
              </c:pt>
            </c:strLit>
          </c:cat>
          <c:val>
            <c:numRef>
              <c:f>'Use of Cow Loan'!$AP$70</c:f>
              <c:numCache/>
            </c:numRef>
          </c:val>
        </c:ser>
        <c:ser>
          <c:idx val="2"/>
          <c:order val="2"/>
          <c:tx>
            <c:strRef>
              <c:f>'Use of Cow Loan'!$A$72</c:f>
              <c:strCache>
                <c:ptCount val="1"/>
                <c:pt idx="0">
                  <c:v>START AFTER PROMOTION TO CPT</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cat>
            <c:strLit>
              <c:ptCount val="1"/>
              <c:pt idx="0">
                <c:v>Value at Age 60</c:v>
              </c:pt>
            </c:strLit>
          </c:cat>
          <c:val>
            <c:numRef>
              <c:f>'Use of Cow Loan'!$AP$75</c:f>
              <c:numCache/>
            </c:numRef>
          </c:val>
        </c:ser>
        <c:ser>
          <c:idx val="3"/>
          <c:order val="3"/>
          <c:tx>
            <c:strRef>
              <c:f>'Use of Cow Loan'!$A$77</c:f>
              <c:strCache>
                <c:ptCount val="1"/>
                <c:pt idx="0">
                  <c:v>START AFTER COW LOAN PAID</c:v>
                </c:pt>
              </c:strCache>
            </c:strRef>
          </c:tx>
          <c:spPr>
            <a:solidFill>
              <a:srgbClr val="FF9900"/>
            </a:solidFill>
          </c:spPr>
          <c:invertIfNegative val="0"/>
          <c:extLst>
            <c:ext xmlns:c14="http://schemas.microsoft.com/office/drawing/2007/8/2/chart" uri="{6F2FDCE9-48DA-4B69-8628-5D25D57E5C99}">
              <c14:invertSolidFillFmt>
                <c14:spPr>
                  <a:solidFill>
                    <a:srgbClr val="C0C0C0"/>
                  </a:solidFill>
                </c14:spPr>
              </c14:invertSolidFillFmt>
            </c:ext>
          </c:extLst>
          <c:cat>
            <c:strLit>
              <c:ptCount val="1"/>
              <c:pt idx="0">
                <c:v>Value at Age 60</c:v>
              </c:pt>
            </c:strLit>
          </c:cat>
          <c:val>
            <c:numRef>
              <c:f>'Use of Cow Loan'!$AP$80</c:f>
              <c:numCache/>
            </c:numRef>
          </c:val>
        </c:ser>
        <c:ser>
          <c:idx val="4"/>
          <c:order val="4"/>
          <c:tx>
            <c:strRef>
              <c:f>'Use of Cow Loan'!$A$82</c:f>
              <c:strCache>
                <c:ptCount val="1"/>
                <c:pt idx="0">
                  <c:v>MISS 2006, 2007 &amp; Start as CPT - WORST CASE</c:v>
                </c:pt>
              </c:strCache>
            </c:strRef>
          </c:tx>
          <c:spPr>
            <a:solidFill>
              <a:srgbClr val="0000FF"/>
            </a:solidFill>
          </c:spPr>
          <c:invertIfNegative val="0"/>
          <c:extLst>
            <c:ext xmlns:c14="http://schemas.microsoft.com/office/drawing/2007/8/2/chart" uri="{6F2FDCE9-48DA-4B69-8628-5D25D57E5C99}">
              <c14:invertSolidFillFmt>
                <c14:spPr>
                  <a:solidFill>
                    <a:srgbClr val="C0C0C0"/>
                  </a:solidFill>
                </c14:spPr>
              </c14:invertSolidFillFmt>
            </c:ext>
          </c:extLst>
          <c:val>
            <c:numRef>
              <c:f>'Use of Cow Loan'!$AP$85</c:f>
              <c:numCache/>
            </c:numRef>
          </c:val>
        </c:ser>
        <c:axId val="28013350"/>
        <c:axId val="50793559"/>
      </c:barChart>
      <c:catAx>
        <c:axId val="28013350"/>
        <c:scaling>
          <c:orientation val="minMax"/>
        </c:scaling>
        <c:axPos val="b"/>
        <c:delete val="0"/>
        <c:numFmt formatCode="General" sourceLinked="1"/>
        <c:majorTickMark val="out"/>
        <c:minorTickMark val="none"/>
        <c:tickLblPos val="nextTo"/>
        <c:crossAx val="50793559"/>
        <c:crosses val="autoZero"/>
        <c:auto val="1"/>
        <c:lblOffset val="100"/>
        <c:noMultiLvlLbl val="0"/>
      </c:catAx>
      <c:valAx>
        <c:axId val="50793559"/>
        <c:scaling>
          <c:orientation val="minMax"/>
        </c:scaling>
        <c:axPos val="l"/>
        <c:majorGridlines/>
        <c:delete val="0"/>
        <c:numFmt formatCode="General" sourceLinked="1"/>
        <c:majorTickMark val="out"/>
        <c:minorTickMark val="none"/>
        <c:tickLblPos val="nextTo"/>
        <c:crossAx val="28013350"/>
        <c:crossesAt val="1"/>
        <c:crossBetween val="between"/>
        <c:dispUnits/>
        <c:majorUnit val="100000"/>
      </c:valAx>
      <c:spPr>
        <a:solidFill>
          <a:srgbClr val="C0C0C0"/>
        </a:solidFill>
        <a:ln w="12700">
          <a:solidFill>
            <a:srgbClr val="808080"/>
          </a:solidFill>
        </a:ln>
      </c:spPr>
    </c:plotArea>
    <c:legend>
      <c:legendPos val="r"/>
      <c:layout>
        <c:manualLayout>
          <c:xMode val="edge"/>
          <c:yMode val="edge"/>
          <c:x val="0.6825"/>
          <c:y val="0"/>
          <c:w val="0.3165"/>
          <c:h val="0.18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16</xdr:row>
      <xdr:rowOff>161925</xdr:rowOff>
    </xdr:from>
    <xdr:to>
      <xdr:col>9</xdr:col>
      <xdr:colOff>0</xdr:colOff>
      <xdr:row>17</xdr:row>
      <xdr:rowOff>133350</xdr:rowOff>
    </xdr:to>
    <xdr:sp>
      <xdr:nvSpPr>
        <xdr:cNvPr id="1" name="AutoShape 2"/>
        <xdr:cNvSpPr>
          <a:spLocks/>
        </xdr:cNvSpPr>
      </xdr:nvSpPr>
      <xdr:spPr>
        <a:xfrm rot="5400000">
          <a:off x="6191250" y="2933700"/>
          <a:ext cx="3800475" cy="142875"/>
        </a:xfrm>
        <a:prstGeom prst="leftBrace">
          <a:avLst>
            <a:gd name="adj1" fmla="val -38967"/>
            <a:gd name="adj2" fmla="val 8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11</xdr:row>
      <xdr:rowOff>114300</xdr:rowOff>
    </xdr:from>
    <xdr:to>
      <xdr:col>9</xdr:col>
      <xdr:colOff>361950</xdr:colOff>
      <xdr:row>16</xdr:row>
      <xdr:rowOff>142875</xdr:rowOff>
    </xdr:to>
    <xdr:sp>
      <xdr:nvSpPr>
        <xdr:cNvPr id="2" name="Rectangle 3"/>
        <xdr:cNvSpPr>
          <a:spLocks/>
        </xdr:cNvSpPr>
      </xdr:nvSpPr>
      <xdr:spPr>
        <a:xfrm>
          <a:off x="7448550" y="2028825"/>
          <a:ext cx="2905125" cy="8858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You are paying the Cow Loan note!  Can you pay the Cow Loan note and fully fund a Roth IRA?  It's a tall order, so </a:t>
          </a:r>
          <a:r>
            <a:rPr lang="en-US" cap="none" sz="1200" b="1" i="0" u="sng" baseline="0">
              <a:latin typeface="Arial"/>
              <a:ea typeface="Arial"/>
              <a:cs typeface="Arial"/>
            </a:rPr>
            <a:t>use your Cow Loan to fund the Roth IRA!</a:t>
          </a:r>
        </a:p>
      </xdr:txBody>
    </xdr:sp>
    <xdr:clientData/>
  </xdr:twoCellAnchor>
  <xdr:twoCellAnchor>
    <xdr:from>
      <xdr:col>5</xdr:col>
      <xdr:colOff>76200</xdr:colOff>
      <xdr:row>65</xdr:row>
      <xdr:rowOff>114300</xdr:rowOff>
    </xdr:from>
    <xdr:to>
      <xdr:col>9</xdr:col>
      <xdr:colOff>161925</xdr:colOff>
      <xdr:row>67</xdr:row>
      <xdr:rowOff>123825</xdr:rowOff>
    </xdr:to>
    <xdr:grpSp>
      <xdr:nvGrpSpPr>
        <xdr:cNvPr id="3" name="Group 4"/>
        <xdr:cNvGrpSpPr>
          <a:grpSpLocks/>
        </xdr:cNvGrpSpPr>
      </xdr:nvGrpSpPr>
      <xdr:grpSpPr>
        <a:xfrm>
          <a:off x="6991350" y="11315700"/>
          <a:ext cx="3162300" cy="323850"/>
          <a:chOff x="720" y="487"/>
          <a:chExt cx="333" cy="82"/>
        </a:xfrm>
        <a:solidFill>
          <a:srgbClr val="FFFFFF"/>
        </a:solidFill>
      </xdr:grpSpPr>
      <xdr:sp>
        <xdr:nvSpPr>
          <xdr:cNvPr id="4" name="Rectangle 5"/>
          <xdr:cNvSpPr>
            <a:spLocks/>
          </xdr:cNvSpPr>
        </xdr:nvSpPr>
        <xdr:spPr>
          <a:xfrm>
            <a:off x="720" y="487"/>
            <a:ext cx="221" cy="82"/>
          </a:xfrm>
          <a:prstGeom prst="rect">
            <a:avLst/>
          </a:prstGeom>
          <a:solidFill>
            <a:srgbClr val="FF99CC"/>
          </a:solidFill>
          <a:ln w="2857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Going forward….You are capable to fund the Roth IRA with your monthly cash flow as a1LT.</a:t>
            </a:r>
          </a:p>
        </xdr:txBody>
      </xdr:sp>
      <xdr:sp>
        <xdr:nvSpPr>
          <xdr:cNvPr id="5" name="Line 6"/>
          <xdr:cNvSpPr>
            <a:spLocks/>
          </xdr:cNvSpPr>
        </xdr:nvSpPr>
        <xdr:spPr>
          <a:xfrm>
            <a:off x="941" y="523"/>
            <a:ext cx="112"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71</xdr:row>
      <xdr:rowOff>0</xdr:rowOff>
    </xdr:from>
    <xdr:to>
      <xdr:col>13</xdr:col>
      <xdr:colOff>552450</xdr:colOff>
      <xdr:row>72</xdr:row>
      <xdr:rowOff>133350</xdr:rowOff>
    </xdr:to>
    <xdr:grpSp>
      <xdr:nvGrpSpPr>
        <xdr:cNvPr id="6" name="Group 7"/>
        <xdr:cNvGrpSpPr>
          <a:grpSpLocks/>
        </xdr:cNvGrpSpPr>
      </xdr:nvGrpSpPr>
      <xdr:grpSpPr>
        <a:xfrm>
          <a:off x="9344025" y="12172950"/>
          <a:ext cx="4210050" cy="304800"/>
          <a:chOff x="720" y="487"/>
          <a:chExt cx="333" cy="82"/>
        </a:xfrm>
        <a:solidFill>
          <a:srgbClr val="FFFFFF"/>
        </a:solidFill>
      </xdr:grpSpPr>
      <xdr:sp>
        <xdr:nvSpPr>
          <xdr:cNvPr id="7" name="Rectangle 8"/>
          <xdr:cNvSpPr>
            <a:spLocks/>
          </xdr:cNvSpPr>
        </xdr:nvSpPr>
        <xdr:spPr>
          <a:xfrm>
            <a:off x="720" y="487"/>
            <a:ext cx="221" cy="82"/>
          </a:xfrm>
          <a:prstGeom prst="rect">
            <a:avLst/>
          </a:prstGeom>
          <a:solidFill>
            <a:srgbClr val="CCFFFF"/>
          </a:solidFill>
          <a:ln w="2857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Going forward….You are capable to fund the Roth IRA with your monthly cash flow as a Captain.</a:t>
            </a:r>
          </a:p>
        </xdr:txBody>
      </xdr:sp>
      <xdr:sp>
        <xdr:nvSpPr>
          <xdr:cNvPr id="8" name="Line 9"/>
          <xdr:cNvSpPr>
            <a:spLocks/>
          </xdr:cNvSpPr>
        </xdr:nvSpPr>
        <xdr:spPr>
          <a:xfrm>
            <a:off x="941" y="523"/>
            <a:ext cx="112"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76200</xdr:colOff>
      <xdr:row>75</xdr:row>
      <xdr:rowOff>47625</xdr:rowOff>
    </xdr:from>
    <xdr:to>
      <xdr:col>14</xdr:col>
      <xdr:colOff>295275</xdr:colOff>
      <xdr:row>77</xdr:row>
      <xdr:rowOff>38100</xdr:rowOff>
    </xdr:to>
    <xdr:grpSp>
      <xdr:nvGrpSpPr>
        <xdr:cNvPr id="9" name="Group 13"/>
        <xdr:cNvGrpSpPr>
          <a:grpSpLocks/>
        </xdr:cNvGrpSpPr>
      </xdr:nvGrpSpPr>
      <xdr:grpSpPr>
        <a:xfrm>
          <a:off x="10067925" y="12877800"/>
          <a:ext cx="4048125" cy="333375"/>
          <a:chOff x="720" y="487"/>
          <a:chExt cx="333" cy="82"/>
        </a:xfrm>
        <a:solidFill>
          <a:srgbClr val="FFFFFF"/>
        </a:solidFill>
      </xdr:grpSpPr>
      <xdr:sp>
        <xdr:nvSpPr>
          <xdr:cNvPr id="10" name="Rectangle 14"/>
          <xdr:cNvSpPr>
            <a:spLocks/>
          </xdr:cNvSpPr>
        </xdr:nvSpPr>
        <xdr:spPr>
          <a:xfrm>
            <a:off x="720" y="487"/>
            <a:ext cx="221" cy="82"/>
          </a:xfrm>
          <a:prstGeom prst="rect">
            <a:avLst/>
          </a:prstGeom>
          <a:solidFill>
            <a:srgbClr val="FF9900"/>
          </a:solidFill>
          <a:ln w="2857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Going forward….You are capable to fund the Roth IRA when you lose the Cow Loan Payment.</a:t>
            </a:r>
          </a:p>
        </xdr:txBody>
      </xdr:sp>
      <xdr:sp>
        <xdr:nvSpPr>
          <xdr:cNvPr id="11" name="Line 15"/>
          <xdr:cNvSpPr>
            <a:spLocks/>
          </xdr:cNvSpPr>
        </xdr:nvSpPr>
        <xdr:spPr>
          <a:xfrm>
            <a:off x="941" y="523"/>
            <a:ext cx="112"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28575</xdr:colOff>
      <xdr:row>13</xdr:row>
      <xdr:rowOff>0</xdr:rowOff>
    </xdr:from>
    <xdr:to>
      <xdr:col>1</xdr:col>
      <xdr:colOff>561975</xdr:colOff>
      <xdr:row>21</xdr:row>
      <xdr:rowOff>85725</xdr:rowOff>
    </xdr:to>
    <xdr:sp>
      <xdr:nvSpPr>
        <xdr:cNvPr id="12" name="AutoShape 18"/>
        <xdr:cNvSpPr>
          <a:spLocks/>
        </xdr:cNvSpPr>
      </xdr:nvSpPr>
      <xdr:spPr>
        <a:xfrm rot="16200000" flipH="1">
          <a:off x="3495675" y="2257425"/>
          <a:ext cx="533400" cy="1447800"/>
        </a:xfrm>
        <a:prstGeom prst="curvedConnector3">
          <a:avLst>
            <a:gd name="adj1" fmla="val 36439"/>
            <a:gd name="adj2" fmla="val 373212"/>
            <a:gd name="adj3" fmla="val -291449"/>
          </a:avLst>
        </a:prstGeom>
        <a:noFill/>
        <a:ln w="38100" cmpd="sng">
          <a:solidFill>
            <a:srgbClr val="00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981075</xdr:colOff>
      <xdr:row>14</xdr:row>
      <xdr:rowOff>0</xdr:rowOff>
    </xdr:from>
    <xdr:to>
      <xdr:col>2</xdr:col>
      <xdr:colOff>685800</xdr:colOff>
      <xdr:row>21</xdr:row>
      <xdr:rowOff>95250</xdr:rowOff>
    </xdr:to>
    <xdr:sp>
      <xdr:nvSpPr>
        <xdr:cNvPr id="13" name="AutoShape 19"/>
        <xdr:cNvSpPr>
          <a:spLocks/>
        </xdr:cNvSpPr>
      </xdr:nvSpPr>
      <xdr:spPr>
        <a:xfrm rot="16200000" flipH="1">
          <a:off x="4448175" y="2428875"/>
          <a:ext cx="704850" cy="1285875"/>
        </a:xfrm>
        <a:prstGeom prst="curvedConnector3">
          <a:avLst>
            <a:gd name="adj1" fmla="val -370"/>
            <a:gd name="adj2" fmla="val 294592"/>
            <a:gd name="adj3" fmla="val -395925"/>
          </a:avLst>
        </a:prstGeom>
        <a:noFill/>
        <a:ln w="38100" cmpd="sng">
          <a:solidFill>
            <a:srgbClr val="0000FF"/>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24</xdr:row>
      <xdr:rowOff>66675</xdr:rowOff>
    </xdr:from>
    <xdr:to>
      <xdr:col>12</xdr:col>
      <xdr:colOff>314325</xdr:colOff>
      <xdr:row>60</xdr:row>
      <xdr:rowOff>28575</xdr:rowOff>
    </xdr:to>
    <xdr:graphicFrame>
      <xdr:nvGraphicFramePr>
        <xdr:cNvPr id="14" name="Chart 71"/>
        <xdr:cNvGraphicFramePr/>
      </xdr:nvGraphicFramePr>
      <xdr:xfrm>
        <a:off x="676275" y="4267200"/>
        <a:ext cx="11887200" cy="6134100"/>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80</xdr:row>
      <xdr:rowOff>152400</xdr:rowOff>
    </xdr:from>
    <xdr:to>
      <xdr:col>14</xdr:col>
      <xdr:colOff>285750</xdr:colOff>
      <xdr:row>82</xdr:row>
      <xdr:rowOff>142875</xdr:rowOff>
    </xdr:to>
    <xdr:grpSp>
      <xdr:nvGrpSpPr>
        <xdr:cNvPr id="15" name="Group 72"/>
        <xdr:cNvGrpSpPr>
          <a:grpSpLocks/>
        </xdr:cNvGrpSpPr>
      </xdr:nvGrpSpPr>
      <xdr:grpSpPr>
        <a:xfrm>
          <a:off x="10058400" y="13820775"/>
          <a:ext cx="4048125" cy="333375"/>
          <a:chOff x="720" y="487"/>
          <a:chExt cx="333" cy="82"/>
        </a:xfrm>
        <a:solidFill>
          <a:srgbClr val="FFFFFF"/>
        </a:solidFill>
      </xdr:grpSpPr>
      <xdr:sp>
        <xdr:nvSpPr>
          <xdr:cNvPr id="16" name="Rectangle 73"/>
          <xdr:cNvSpPr>
            <a:spLocks/>
          </xdr:cNvSpPr>
        </xdr:nvSpPr>
        <xdr:spPr>
          <a:xfrm>
            <a:off x="720" y="487"/>
            <a:ext cx="221" cy="82"/>
          </a:xfrm>
          <a:prstGeom prst="rect">
            <a:avLst/>
          </a:prstGeom>
          <a:solidFill>
            <a:srgbClr val="3366FF"/>
          </a:solidFill>
          <a:ln w="2857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Wait and start fundiing the Rothe IRA as a CPT</a:t>
            </a:r>
          </a:p>
        </xdr:txBody>
      </xdr:sp>
      <xdr:sp>
        <xdr:nvSpPr>
          <xdr:cNvPr id="17" name="Line 74"/>
          <xdr:cNvSpPr>
            <a:spLocks/>
          </xdr:cNvSpPr>
        </xdr:nvSpPr>
        <xdr:spPr>
          <a:xfrm>
            <a:off x="941" y="523"/>
            <a:ext cx="112"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85725</xdr:colOff>
      <xdr:row>60</xdr:row>
      <xdr:rowOff>85725</xdr:rowOff>
    </xdr:from>
    <xdr:to>
      <xdr:col>4</xdr:col>
      <xdr:colOff>552450</xdr:colOff>
      <xdr:row>62</xdr:row>
      <xdr:rowOff>66675</xdr:rowOff>
    </xdr:to>
    <xdr:grpSp>
      <xdr:nvGrpSpPr>
        <xdr:cNvPr id="18" name="Group 75"/>
        <xdr:cNvGrpSpPr>
          <a:grpSpLocks/>
        </xdr:cNvGrpSpPr>
      </xdr:nvGrpSpPr>
      <xdr:grpSpPr>
        <a:xfrm>
          <a:off x="3552825" y="10458450"/>
          <a:ext cx="3162300" cy="323850"/>
          <a:chOff x="720" y="487"/>
          <a:chExt cx="333" cy="82"/>
        </a:xfrm>
        <a:solidFill>
          <a:srgbClr val="FFFFFF"/>
        </a:solidFill>
      </xdr:grpSpPr>
      <xdr:sp>
        <xdr:nvSpPr>
          <xdr:cNvPr id="19" name="Rectangle 76"/>
          <xdr:cNvSpPr>
            <a:spLocks/>
          </xdr:cNvSpPr>
        </xdr:nvSpPr>
        <xdr:spPr>
          <a:xfrm>
            <a:off x="720" y="487"/>
            <a:ext cx="221" cy="82"/>
          </a:xfrm>
          <a:prstGeom prst="rect">
            <a:avLst/>
          </a:prstGeom>
          <a:solidFill>
            <a:srgbClr val="FFFF99"/>
          </a:solidFill>
          <a:ln w="2857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Fully fund the Roth IRA.</a:t>
            </a:r>
          </a:p>
        </xdr:txBody>
      </xdr:sp>
      <xdr:sp>
        <xdr:nvSpPr>
          <xdr:cNvPr id="20" name="Line 77"/>
          <xdr:cNvSpPr>
            <a:spLocks/>
          </xdr:cNvSpPr>
        </xdr:nvSpPr>
        <xdr:spPr>
          <a:xfrm>
            <a:off x="941" y="523"/>
            <a:ext cx="112"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38100</xdr:colOff>
      <xdr:row>5</xdr:row>
      <xdr:rowOff>28575</xdr:rowOff>
    </xdr:from>
    <xdr:to>
      <xdr:col>2</xdr:col>
      <xdr:colOff>352425</xdr:colOff>
      <xdr:row>9</xdr:row>
      <xdr:rowOff>161925</xdr:rowOff>
    </xdr:to>
    <xdr:sp>
      <xdr:nvSpPr>
        <xdr:cNvPr id="21" name="AutoShape 78"/>
        <xdr:cNvSpPr>
          <a:spLocks/>
        </xdr:cNvSpPr>
      </xdr:nvSpPr>
      <xdr:spPr>
        <a:xfrm rot="10800000">
          <a:off x="4505325" y="923925"/>
          <a:ext cx="314325" cy="809625"/>
        </a:xfrm>
        <a:prstGeom prst="leftBrace">
          <a:avLst>
            <a:gd name="adj1" fmla="val -38967"/>
            <a:gd name="adj2" fmla="val 116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6</xdr:row>
      <xdr:rowOff>0</xdr:rowOff>
    </xdr:from>
    <xdr:to>
      <xdr:col>4</xdr:col>
      <xdr:colOff>638175</xdr:colOff>
      <xdr:row>9</xdr:row>
      <xdr:rowOff>0</xdr:rowOff>
    </xdr:to>
    <xdr:sp>
      <xdr:nvSpPr>
        <xdr:cNvPr id="22" name="TextBox 81"/>
        <xdr:cNvSpPr txBox="1">
          <a:spLocks noChangeArrowheads="1"/>
        </xdr:cNvSpPr>
      </xdr:nvSpPr>
      <xdr:spPr>
        <a:xfrm>
          <a:off x="4848225" y="1066800"/>
          <a:ext cx="1952625" cy="5048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Fill in known short term expenses and see what you have left over for investment into a ROTH IRA .</a:t>
          </a:r>
        </a:p>
      </xdr:txBody>
    </xdr:sp>
    <xdr:clientData/>
  </xdr:twoCellAnchor>
  <xdr:twoCellAnchor>
    <xdr:from>
      <xdr:col>2</xdr:col>
      <xdr:colOff>28575</xdr:colOff>
      <xdr:row>10</xdr:row>
      <xdr:rowOff>114300</xdr:rowOff>
    </xdr:from>
    <xdr:to>
      <xdr:col>2</xdr:col>
      <xdr:colOff>314325</xdr:colOff>
      <xdr:row>10</xdr:row>
      <xdr:rowOff>114300</xdr:rowOff>
    </xdr:to>
    <xdr:sp>
      <xdr:nvSpPr>
        <xdr:cNvPr id="23" name="Line 82"/>
        <xdr:cNvSpPr>
          <a:spLocks/>
        </xdr:cNvSpPr>
      </xdr:nvSpPr>
      <xdr:spPr>
        <a:xfrm>
          <a:off x="4495800" y="18573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10</xdr:row>
      <xdr:rowOff>0</xdr:rowOff>
    </xdr:from>
    <xdr:to>
      <xdr:col>4</xdr:col>
      <xdr:colOff>600075</xdr:colOff>
      <xdr:row>11</xdr:row>
      <xdr:rowOff>28575</xdr:rowOff>
    </xdr:to>
    <xdr:sp>
      <xdr:nvSpPr>
        <xdr:cNvPr id="24" name="TextBox 83"/>
        <xdr:cNvSpPr txBox="1">
          <a:spLocks noChangeArrowheads="1"/>
        </xdr:cNvSpPr>
      </xdr:nvSpPr>
      <xdr:spPr>
        <a:xfrm>
          <a:off x="4838700" y="1743075"/>
          <a:ext cx="1924050" cy="2000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 Fill in Emergency Fund.</a:t>
          </a:r>
        </a:p>
      </xdr:txBody>
    </xdr:sp>
    <xdr:clientData/>
  </xdr:twoCellAnchor>
  <xdr:twoCellAnchor>
    <xdr:from>
      <xdr:col>2</xdr:col>
      <xdr:colOff>38100</xdr:colOff>
      <xdr:row>12</xdr:row>
      <xdr:rowOff>28575</xdr:rowOff>
    </xdr:from>
    <xdr:to>
      <xdr:col>2</xdr:col>
      <xdr:colOff>295275</xdr:colOff>
      <xdr:row>14</xdr:row>
      <xdr:rowOff>0</xdr:rowOff>
    </xdr:to>
    <xdr:sp>
      <xdr:nvSpPr>
        <xdr:cNvPr id="25" name="AutoShape 84"/>
        <xdr:cNvSpPr>
          <a:spLocks/>
        </xdr:cNvSpPr>
      </xdr:nvSpPr>
      <xdr:spPr>
        <a:xfrm rot="10800000">
          <a:off x="4505325" y="2114550"/>
          <a:ext cx="257175" cy="314325"/>
        </a:xfrm>
        <a:prstGeom prst="leftBrace">
          <a:avLst>
            <a:gd name="adj1" fmla="val -38967"/>
            <a:gd name="adj2" fmla="val 116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12</xdr:row>
      <xdr:rowOff>28575</xdr:rowOff>
    </xdr:from>
    <xdr:to>
      <xdr:col>4</xdr:col>
      <xdr:colOff>581025</xdr:colOff>
      <xdr:row>13</xdr:row>
      <xdr:rowOff>161925</xdr:rowOff>
    </xdr:to>
    <xdr:sp>
      <xdr:nvSpPr>
        <xdr:cNvPr id="26" name="TextBox 85"/>
        <xdr:cNvSpPr txBox="1">
          <a:spLocks noChangeArrowheads="1"/>
        </xdr:cNvSpPr>
      </xdr:nvSpPr>
      <xdr:spPr>
        <a:xfrm>
          <a:off x="4838700" y="2114550"/>
          <a:ext cx="1905000" cy="30480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 Fill in ROTH IRA contriburions with remaining SUBTOTAL.</a:t>
          </a:r>
        </a:p>
      </xdr:txBody>
    </xdr:sp>
    <xdr:clientData/>
  </xdr:twoCellAnchor>
  <xdr:twoCellAnchor>
    <xdr:from>
      <xdr:col>2</xdr:col>
      <xdr:colOff>0</xdr:colOff>
      <xdr:row>15</xdr:row>
      <xdr:rowOff>47625</xdr:rowOff>
    </xdr:from>
    <xdr:to>
      <xdr:col>3</xdr:col>
      <xdr:colOff>523875</xdr:colOff>
      <xdr:row>15</xdr:row>
      <xdr:rowOff>47625</xdr:rowOff>
    </xdr:to>
    <xdr:sp>
      <xdr:nvSpPr>
        <xdr:cNvPr id="27" name="Line 88"/>
        <xdr:cNvSpPr>
          <a:spLocks/>
        </xdr:cNvSpPr>
      </xdr:nvSpPr>
      <xdr:spPr>
        <a:xfrm>
          <a:off x="4467225" y="26479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14</xdr:row>
      <xdr:rowOff>28575</xdr:rowOff>
    </xdr:from>
    <xdr:to>
      <xdr:col>5</xdr:col>
      <xdr:colOff>285750</xdr:colOff>
      <xdr:row>17</xdr:row>
      <xdr:rowOff>38100</xdr:rowOff>
    </xdr:to>
    <xdr:sp>
      <xdr:nvSpPr>
        <xdr:cNvPr id="28" name="TextBox 89"/>
        <xdr:cNvSpPr txBox="1">
          <a:spLocks noChangeArrowheads="1"/>
        </xdr:cNvSpPr>
      </xdr:nvSpPr>
      <xdr:spPr>
        <a:xfrm>
          <a:off x="5753100" y="2457450"/>
          <a:ext cx="1447800" cy="5238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Change interest rate to match risk of the vehicle that the money is placed.</a:t>
          </a:r>
        </a:p>
      </xdr:txBody>
    </xdr:sp>
    <xdr:clientData/>
  </xdr:twoCellAnchor>
  <xdr:twoCellAnchor>
    <xdr:from>
      <xdr:col>2</xdr:col>
      <xdr:colOff>9525</xdr:colOff>
      <xdr:row>16</xdr:row>
      <xdr:rowOff>66675</xdr:rowOff>
    </xdr:from>
    <xdr:to>
      <xdr:col>2</xdr:col>
      <xdr:colOff>295275</xdr:colOff>
      <xdr:row>16</xdr:row>
      <xdr:rowOff>76200</xdr:rowOff>
    </xdr:to>
    <xdr:sp>
      <xdr:nvSpPr>
        <xdr:cNvPr id="29" name="Line 90"/>
        <xdr:cNvSpPr>
          <a:spLocks/>
        </xdr:cNvSpPr>
      </xdr:nvSpPr>
      <xdr:spPr>
        <a:xfrm flipV="1">
          <a:off x="4476750" y="2838450"/>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15</xdr:row>
      <xdr:rowOff>123825</xdr:rowOff>
    </xdr:from>
    <xdr:to>
      <xdr:col>3</xdr:col>
      <xdr:colOff>495300</xdr:colOff>
      <xdr:row>17</xdr:row>
      <xdr:rowOff>114300</xdr:rowOff>
    </xdr:to>
    <xdr:sp>
      <xdr:nvSpPr>
        <xdr:cNvPr id="30" name="TextBox 91"/>
        <xdr:cNvSpPr txBox="1">
          <a:spLocks noChangeArrowheads="1"/>
        </xdr:cNvSpPr>
      </xdr:nvSpPr>
      <xdr:spPr>
        <a:xfrm>
          <a:off x="4762500" y="2724150"/>
          <a:ext cx="923925" cy="33337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Change to match expectations.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43</xdr:row>
      <xdr:rowOff>142875</xdr:rowOff>
    </xdr:from>
    <xdr:to>
      <xdr:col>8</xdr:col>
      <xdr:colOff>485775</xdr:colOff>
      <xdr:row>100</xdr:row>
      <xdr:rowOff>66675</xdr:rowOff>
    </xdr:to>
    <xdr:pic>
      <xdr:nvPicPr>
        <xdr:cNvPr id="1" name="Picture 6"/>
        <xdr:cNvPicPr preferRelativeResize="1">
          <a:picLocks noChangeAspect="1"/>
        </xdr:cNvPicPr>
      </xdr:nvPicPr>
      <xdr:blipFill>
        <a:blip r:embed="rId1"/>
        <a:stretch>
          <a:fillRect/>
        </a:stretch>
      </xdr:blipFill>
      <xdr:spPr>
        <a:xfrm>
          <a:off x="390525" y="7791450"/>
          <a:ext cx="13068300" cy="9153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F85"/>
  <sheetViews>
    <sheetView tabSelected="1" zoomScale="75" zoomScaleNormal="75" workbookViewId="0" topLeftCell="A1">
      <selection activeCell="B18" sqref="B18"/>
    </sheetView>
  </sheetViews>
  <sheetFormatPr defaultColWidth="9.140625" defaultRowHeight="12.75"/>
  <cols>
    <col min="1" max="1" width="52.00390625" style="0" bestFit="1" customWidth="1"/>
    <col min="2" max="2" width="15.00390625" style="0" bestFit="1" customWidth="1"/>
    <col min="3" max="3" width="10.8515625" style="0" bestFit="1" customWidth="1"/>
    <col min="4" max="4" width="14.57421875" style="0" bestFit="1" customWidth="1"/>
    <col min="5" max="5" width="11.28125" style="0" bestFit="1" customWidth="1"/>
    <col min="6" max="6" width="11.57421875" style="0" bestFit="1" customWidth="1"/>
    <col min="7" max="7" width="11.28125" style="0" bestFit="1" customWidth="1"/>
    <col min="8" max="8" width="12.00390625" style="0" bestFit="1" customWidth="1"/>
    <col min="9" max="13" width="11.28125" style="0" bestFit="1" customWidth="1"/>
    <col min="14" max="33" width="12.28125" style="0" bestFit="1" customWidth="1"/>
    <col min="34" max="41" width="14.00390625" style="0" bestFit="1" customWidth="1"/>
    <col min="42" max="42" width="14.00390625" style="0" customWidth="1"/>
    <col min="43" max="43" width="10.421875" style="0" bestFit="1" customWidth="1"/>
    <col min="44" max="44" width="10.57421875" style="0" bestFit="1" customWidth="1"/>
    <col min="45" max="45" width="10.421875" style="0" bestFit="1" customWidth="1"/>
    <col min="46" max="47" width="10.57421875" style="0" bestFit="1" customWidth="1"/>
    <col min="48" max="48" width="10.421875" style="0" bestFit="1" customWidth="1"/>
    <col min="49" max="49" width="10.00390625" style="0" bestFit="1" customWidth="1"/>
    <col min="50" max="52" width="10.421875" style="0" bestFit="1" customWidth="1"/>
    <col min="53" max="53" width="10.28125" style="0" bestFit="1" customWidth="1"/>
    <col min="54" max="54" width="10.421875" style="0" bestFit="1" customWidth="1"/>
    <col min="55" max="55" width="10.28125" style="0" bestFit="1" customWidth="1"/>
    <col min="56" max="56" width="10.421875" style="0" bestFit="1" customWidth="1"/>
  </cols>
  <sheetData>
    <row r="1" spans="1:58" ht="12.75">
      <c r="A1" s="1" t="s">
        <v>0</v>
      </c>
      <c r="B1" s="2">
        <v>39083</v>
      </c>
      <c r="C1" s="2">
        <v>39447</v>
      </c>
      <c r="D1" s="2">
        <v>39813</v>
      </c>
      <c r="E1" s="2">
        <v>40178</v>
      </c>
      <c r="F1" s="2">
        <v>40543</v>
      </c>
      <c r="G1" s="2">
        <v>40908</v>
      </c>
      <c r="H1" s="2">
        <v>41274</v>
      </c>
      <c r="I1" s="2">
        <v>41639</v>
      </c>
      <c r="J1" s="2">
        <v>42004</v>
      </c>
      <c r="K1" s="2">
        <v>42369</v>
      </c>
      <c r="L1" s="2">
        <v>42735</v>
      </c>
      <c r="M1" s="2">
        <v>43100</v>
      </c>
      <c r="N1" s="2">
        <v>43465</v>
      </c>
      <c r="O1" s="2">
        <v>43830</v>
      </c>
      <c r="P1" s="2">
        <v>44196</v>
      </c>
      <c r="Q1" s="2">
        <v>44561</v>
      </c>
      <c r="R1" s="2">
        <v>44926</v>
      </c>
      <c r="S1" s="2">
        <v>45291</v>
      </c>
      <c r="T1" s="2">
        <v>45657</v>
      </c>
      <c r="U1" s="2">
        <v>46022</v>
      </c>
      <c r="V1" s="2">
        <v>46387</v>
      </c>
      <c r="W1" s="2">
        <v>46752</v>
      </c>
      <c r="X1" s="2">
        <v>47118</v>
      </c>
      <c r="Y1" s="2">
        <v>47483</v>
      </c>
      <c r="Z1" s="2">
        <v>47848</v>
      </c>
      <c r="AA1" s="2">
        <v>48213</v>
      </c>
      <c r="AB1" s="2">
        <v>48579</v>
      </c>
      <c r="AC1" s="2">
        <v>48944</v>
      </c>
      <c r="AD1" s="2">
        <v>49309</v>
      </c>
      <c r="AE1" s="2">
        <v>49674</v>
      </c>
      <c r="AF1" s="2">
        <v>50040</v>
      </c>
      <c r="AG1" s="2">
        <v>50405</v>
      </c>
      <c r="AH1" s="2">
        <v>50770</v>
      </c>
      <c r="AI1" s="2">
        <v>51135</v>
      </c>
      <c r="AJ1" s="2">
        <v>51501</v>
      </c>
      <c r="AK1" s="2">
        <v>51866</v>
      </c>
      <c r="AL1" s="2">
        <v>52231</v>
      </c>
      <c r="AM1" s="2">
        <v>52596</v>
      </c>
      <c r="AN1" s="2">
        <v>52962</v>
      </c>
      <c r="AO1" s="2">
        <v>53327</v>
      </c>
      <c r="AP1" s="2">
        <v>53692</v>
      </c>
      <c r="AQ1" s="3"/>
      <c r="AR1" s="3"/>
      <c r="AS1" s="3"/>
      <c r="AT1" s="3"/>
      <c r="AU1" s="3"/>
      <c r="AV1" s="3"/>
      <c r="AW1" s="3"/>
      <c r="AX1" s="3"/>
      <c r="AY1" s="3"/>
      <c r="AZ1" s="3"/>
      <c r="BA1" s="3"/>
      <c r="BB1" s="3"/>
      <c r="BC1" s="3"/>
      <c r="BD1" s="3"/>
      <c r="BE1" s="3"/>
      <c r="BF1" s="3"/>
    </row>
    <row r="2" spans="1:58" ht="12.75">
      <c r="A2" s="1" t="s">
        <v>1</v>
      </c>
      <c r="B2" s="4">
        <v>0</v>
      </c>
      <c r="C2" s="4">
        <f>B2+1</f>
        <v>1</v>
      </c>
      <c r="D2" s="4">
        <f aca="true" t="shared" si="0" ref="D2:AO2">C2+1</f>
        <v>2</v>
      </c>
      <c r="E2" s="4">
        <f t="shared" si="0"/>
        <v>3</v>
      </c>
      <c r="F2" s="4">
        <f t="shared" si="0"/>
        <v>4</v>
      </c>
      <c r="G2" s="4">
        <f t="shared" si="0"/>
        <v>5</v>
      </c>
      <c r="H2" s="4">
        <f t="shared" si="0"/>
        <v>6</v>
      </c>
      <c r="I2" s="4">
        <f t="shared" si="0"/>
        <v>7</v>
      </c>
      <c r="J2" s="4">
        <f t="shared" si="0"/>
        <v>8</v>
      </c>
      <c r="K2" s="4">
        <f t="shared" si="0"/>
        <v>9</v>
      </c>
      <c r="L2" s="4">
        <f t="shared" si="0"/>
        <v>10</v>
      </c>
      <c r="M2" s="4">
        <f t="shared" si="0"/>
        <v>11</v>
      </c>
      <c r="N2" s="4">
        <f t="shared" si="0"/>
        <v>12</v>
      </c>
      <c r="O2" s="4">
        <f t="shared" si="0"/>
        <v>13</v>
      </c>
      <c r="P2" s="4">
        <f t="shared" si="0"/>
        <v>14</v>
      </c>
      <c r="Q2" s="4">
        <f t="shared" si="0"/>
        <v>15</v>
      </c>
      <c r="R2" s="4">
        <f t="shared" si="0"/>
        <v>16</v>
      </c>
      <c r="S2" s="4">
        <f t="shared" si="0"/>
        <v>17</v>
      </c>
      <c r="T2" s="4">
        <f t="shared" si="0"/>
        <v>18</v>
      </c>
      <c r="U2" s="4">
        <f t="shared" si="0"/>
        <v>19</v>
      </c>
      <c r="V2" s="4">
        <f t="shared" si="0"/>
        <v>20</v>
      </c>
      <c r="W2" s="4">
        <f t="shared" si="0"/>
        <v>21</v>
      </c>
      <c r="X2" s="4">
        <f t="shared" si="0"/>
        <v>22</v>
      </c>
      <c r="Y2" s="4">
        <f t="shared" si="0"/>
        <v>23</v>
      </c>
      <c r="Z2" s="4">
        <f t="shared" si="0"/>
        <v>24</v>
      </c>
      <c r="AA2" s="4">
        <f t="shared" si="0"/>
        <v>25</v>
      </c>
      <c r="AB2" s="4">
        <f t="shared" si="0"/>
        <v>26</v>
      </c>
      <c r="AC2" s="4">
        <f t="shared" si="0"/>
        <v>27</v>
      </c>
      <c r="AD2" s="4">
        <f t="shared" si="0"/>
        <v>28</v>
      </c>
      <c r="AE2" s="4">
        <f t="shared" si="0"/>
        <v>29</v>
      </c>
      <c r="AF2" s="4">
        <f t="shared" si="0"/>
        <v>30</v>
      </c>
      <c r="AG2" s="4">
        <f>AF2+1</f>
        <v>31</v>
      </c>
      <c r="AH2" s="4">
        <f>AG2+1</f>
        <v>32</v>
      </c>
      <c r="AI2" s="4">
        <f t="shared" si="0"/>
        <v>33</v>
      </c>
      <c r="AJ2" s="4">
        <f t="shared" si="0"/>
        <v>34</v>
      </c>
      <c r="AK2" s="4">
        <f t="shared" si="0"/>
        <v>35</v>
      </c>
      <c r="AL2" s="4">
        <f t="shared" si="0"/>
        <v>36</v>
      </c>
      <c r="AM2" s="4">
        <f t="shared" si="0"/>
        <v>37</v>
      </c>
      <c r="AN2" s="4">
        <f t="shared" si="0"/>
        <v>38</v>
      </c>
      <c r="AO2" s="4">
        <f t="shared" si="0"/>
        <v>39</v>
      </c>
      <c r="AP2" s="4">
        <f>AO2+1</f>
        <v>40</v>
      </c>
      <c r="AQ2" s="5"/>
      <c r="AR2" s="5"/>
      <c r="AS2" s="5"/>
      <c r="AT2" s="5"/>
      <c r="AU2" s="5"/>
      <c r="AV2" s="5"/>
      <c r="AW2" s="5"/>
      <c r="AX2" s="5"/>
      <c r="AY2" s="5"/>
      <c r="AZ2" s="5"/>
      <c r="BA2" s="5"/>
      <c r="BB2" s="5"/>
      <c r="BC2" s="5"/>
      <c r="BD2" s="5"/>
      <c r="BE2" s="5"/>
      <c r="BF2" s="5"/>
    </row>
    <row r="3" spans="1:58" ht="12.75">
      <c r="A3" s="1" t="s">
        <v>2</v>
      </c>
      <c r="B3" s="6"/>
      <c r="C3" s="6">
        <v>21</v>
      </c>
      <c r="D3" s="6">
        <v>22</v>
      </c>
      <c r="E3" s="6">
        <v>23</v>
      </c>
      <c r="F3" s="6">
        <v>24</v>
      </c>
      <c r="G3" s="6">
        <v>25</v>
      </c>
      <c r="H3" s="6">
        <v>26</v>
      </c>
      <c r="I3" s="6">
        <v>27</v>
      </c>
      <c r="J3" s="6">
        <v>28</v>
      </c>
      <c r="K3" s="6">
        <v>29</v>
      </c>
      <c r="L3" s="6">
        <v>30</v>
      </c>
      <c r="M3" s="6">
        <v>31</v>
      </c>
      <c r="N3" s="6">
        <v>32</v>
      </c>
      <c r="O3" s="6">
        <v>33</v>
      </c>
      <c r="P3" s="6">
        <v>34</v>
      </c>
      <c r="Q3" s="6">
        <v>35</v>
      </c>
      <c r="R3" s="6">
        <v>36</v>
      </c>
      <c r="S3" s="6">
        <v>37</v>
      </c>
      <c r="T3" s="6">
        <v>38</v>
      </c>
      <c r="U3" s="6">
        <v>39</v>
      </c>
      <c r="V3" s="6">
        <v>40</v>
      </c>
      <c r="W3" s="6">
        <v>41</v>
      </c>
      <c r="X3" s="6">
        <v>42</v>
      </c>
      <c r="Y3" s="6">
        <v>43</v>
      </c>
      <c r="Z3" s="6">
        <v>44</v>
      </c>
      <c r="AA3" s="6">
        <v>45</v>
      </c>
      <c r="AB3" s="6">
        <v>46</v>
      </c>
      <c r="AC3" s="6">
        <v>47</v>
      </c>
      <c r="AD3" s="6">
        <v>48</v>
      </c>
      <c r="AE3" s="6">
        <v>49</v>
      </c>
      <c r="AF3" s="6">
        <v>50</v>
      </c>
      <c r="AG3" s="6">
        <v>51</v>
      </c>
      <c r="AH3" s="6">
        <v>52</v>
      </c>
      <c r="AI3" s="6">
        <v>53</v>
      </c>
      <c r="AJ3" s="6">
        <v>54</v>
      </c>
      <c r="AK3" s="6">
        <v>55</v>
      </c>
      <c r="AL3" s="6">
        <v>56</v>
      </c>
      <c r="AM3" s="6">
        <v>57</v>
      </c>
      <c r="AN3" s="6">
        <v>58</v>
      </c>
      <c r="AO3" s="6">
        <v>59</v>
      </c>
      <c r="AP3" s="6">
        <v>60</v>
      </c>
      <c r="AQ3" s="7"/>
      <c r="AR3" s="7"/>
      <c r="AS3" s="7"/>
      <c r="AT3" s="7"/>
      <c r="AU3" s="7"/>
      <c r="AV3" s="7"/>
      <c r="AW3" s="7"/>
      <c r="AX3" s="7"/>
      <c r="AY3" s="7"/>
      <c r="AZ3" s="7"/>
      <c r="BA3" s="7"/>
      <c r="BB3" s="7"/>
      <c r="BC3" s="7"/>
      <c r="BD3" s="7"/>
      <c r="BE3" s="7"/>
      <c r="BF3" s="7"/>
    </row>
    <row r="4" spans="1:58" ht="13.5" thickBot="1">
      <c r="A4" s="8" t="s">
        <v>3</v>
      </c>
      <c r="B4" s="9">
        <f>1/(1+$B$18)^B2</f>
        <v>1</v>
      </c>
      <c r="C4" s="9">
        <f>1/(1+$B$18)^C2</f>
        <v>1</v>
      </c>
      <c r="D4" s="9">
        <f aca="true" t="shared" si="1" ref="D4:AP4">1/(1+$B$18)^D2</f>
        <v>1</v>
      </c>
      <c r="E4" s="9">
        <f t="shared" si="1"/>
        <v>1</v>
      </c>
      <c r="F4" s="9">
        <f t="shared" si="1"/>
        <v>1</v>
      </c>
      <c r="G4" s="9">
        <f t="shared" si="1"/>
        <v>1</v>
      </c>
      <c r="H4" s="9">
        <f t="shared" si="1"/>
        <v>1</v>
      </c>
      <c r="I4" s="9">
        <f t="shared" si="1"/>
        <v>1</v>
      </c>
      <c r="J4" s="9">
        <f t="shared" si="1"/>
        <v>1</v>
      </c>
      <c r="K4" s="9">
        <f t="shared" si="1"/>
        <v>1</v>
      </c>
      <c r="L4" s="9">
        <f t="shared" si="1"/>
        <v>1</v>
      </c>
      <c r="M4" s="9">
        <f t="shared" si="1"/>
        <v>1</v>
      </c>
      <c r="N4" s="9">
        <f t="shared" si="1"/>
        <v>1</v>
      </c>
      <c r="O4" s="9">
        <f t="shared" si="1"/>
        <v>1</v>
      </c>
      <c r="P4" s="9">
        <f t="shared" si="1"/>
        <v>1</v>
      </c>
      <c r="Q4" s="9">
        <f t="shared" si="1"/>
        <v>1</v>
      </c>
      <c r="R4" s="9">
        <f t="shared" si="1"/>
        <v>1</v>
      </c>
      <c r="S4" s="9">
        <f t="shared" si="1"/>
        <v>1</v>
      </c>
      <c r="T4" s="9">
        <f t="shared" si="1"/>
        <v>1</v>
      </c>
      <c r="U4" s="9">
        <f t="shared" si="1"/>
        <v>1</v>
      </c>
      <c r="V4" s="9">
        <f t="shared" si="1"/>
        <v>1</v>
      </c>
      <c r="W4" s="9">
        <f t="shared" si="1"/>
        <v>1</v>
      </c>
      <c r="X4" s="9">
        <f t="shared" si="1"/>
        <v>1</v>
      </c>
      <c r="Y4" s="9">
        <f t="shared" si="1"/>
        <v>1</v>
      </c>
      <c r="Z4" s="9">
        <f t="shared" si="1"/>
        <v>1</v>
      </c>
      <c r="AA4" s="9">
        <f t="shared" si="1"/>
        <v>1</v>
      </c>
      <c r="AB4" s="9">
        <f t="shared" si="1"/>
        <v>1</v>
      </c>
      <c r="AC4" s="9">
        <f t="shared" si="1"/>
        <v>1</v>
      </c>
      <c r="AD4" s="9">
        <f t="shared" si="1"/>
        <v>1</v>
      </c>
      <c r="AE4" s="9">
        <f t="shared" si="1"/>
        <v>1</v>
      </c>
      <c r="AF4" s="9">
        <f t="shared" si="1"/>
        <v>1</v>
      </c>
      <c r="AG4" s="9">
        <f t="shared" si="1"/>
        <v>1</v>
      </c>
      <c r="AH4" s="9">
        <f t="shared" si="1"/>
        <v>1</v>
      </c>
      <c r="AI4" s="9">
        <f t="shared" si="1"/>
        <v>1</v>
      </c>
      <c r="AJ4" s="9">
        <f t="shared" si="1"/>
        <v>1</v>
      </c>
      <c r="AK4" s="9">
        <f t="shared" si="1"/>
        <v>1</v>
      </c>
      <c r="AL4" s="9">
        <f t="shared" si="1"/>
        <v>1</v>
      </c>
      <c r="AM4" s="9">
        <f t="shared" si="1"/>
        <v>1</v>
      </c>
      <c r="AN4" s="9">
        <f t="shared" si="1"/>
        <v>1</v>
      </c>
      <c r="AO4" s="9">
        <f t="shared" si="1"/>
        <v>1</v>
      </c>
      <c r="AP4" s="9">
        <f t="shared" si="1"/>
        <v>1</v>
      </c>
      <c r="AQ4" s="10"/>
      <c r="AR4" s="10"/>
      <c r="AS4" s="10"/>
      <c r="AT4" s="10"/>
      <c r="AU4" s="10"/>
      <c r="AV4" s="10"/>
      <c r="AW4" s="10"/>
      <c r="AX4" s="10"/>
      <c r="AY4" s="10"/>
      <c r="AZ4" s="10"/>
      <c r="BA4" s="10"/>
      <c r="BB4" s="10"/>
      <c r="BC4" s="10"/>
      <c r="BD4" s="10"/>
      <c r="BE4" s="10"/>
      <c r="BF4" s="10"/>
    </row>
    <row r="5" spans="1:58" ht="18.75" thickBot="1">
      <c r="A5" s="11" t="s">
        <v>4</v>
      </c>
      <c r="B5" s="237">
        <f>30000</f>
        <v>30000</v>
      </c>
      <c r="D5" s="202"/>
      <c r="E5" s="202"/>
      <c r="F5" s="203"/>
      <c r="G5" s="204"/>
      <c r="H5" s="204"/>
      <c r="J5" s="12"/>
      <c r="K5" s="12"/>
      <c r="L5" s="12"/>
      <c r="M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row>
    <row r="6" spans="1:58" ht="13.5" thickBot="1">
      <c r="A6" s="215" t="s">
        <v>5</v>
      </c>
      <c r="B6" s="178">
        <v>1000</v>
      </c>
      <c r="D6" s="257"/>
      <c r="E6" s="257"/>
      <c r="F6" s="205"/>
      <c r="G6" s="205"/>
      <c r="H6" s="206"/>
      <c r="I6" s="13"/>
      <c r="J6" s="12"/>
      <c r="K6" s="12"/>
      <c r="L6" s="12"/>
      <c r="M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row>
    <row r="7" spans="1:58" ht="13.5" thickBot="1">
      <c r="A7" s="215" t="s">
        <v>6</v>
      </c>
      <c r="B7" s="178">
        <v>0</v>
      </c>
      <c r="D7" s="257"/>
      <c r="E7" s="257"/>
      <c r="G7" s="205"/>
      <c r="H7" s="206"/>
      <c r="J7" s="12"/>
      <c r="K7" s="12"/>
      <c r="L7" s="12"/>
      <c r="M7" s="12"/>
      <c r="N7" s="208" t="s">
        <v>113</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row>
    <row r="8" spans="1:58" ht="12.75" customHeight="1" thickBot="1">
      <c r="A8" s="215" t="s">
        <v>7</v>
      </c>
      <c r="B8" s="178">
        <v>1000</v>
      </c>
      <c r="D8" s="257"/>
      <c r="E8" s="257"/>
      <c r="F8" s="201"/>
      <c r="G8" s="207"/>
      <c r="H8" s="206"/>
      <c r="J8" s="12"/>
      <c r="K8" s="12"/>
      <c r="L8" s="12"/>
      <c r="M8" s="12"/>
      <c r="N8" s="209" t="s">
        <v>115</v>
      </c>
      <c r="O8" s="209" t="s">
        <v>114</v>
      </c>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row>
    <row r="9" spans="1:58" ht="13.5" thickBot="1">
      <c r="A9" s="215" t="s">
        <v>9</v>
      </c>
      <c r="B9" s="178">
        <v>1000</v>
      </c>
      <c r="K9" s="12"/>
      <c r="L9" s="12"/>
      <c r="M9" s="12"/>
      <c r="N9" s="18">
        <v>4000</v>
      </c>
      <c r="O9" s="18">
        <v>5000</v>
      </c>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row>
    <row r="10" spans="1:58" ht="13.5" thickBot="1">
      <c r="A10" s="216" t="s">
        <v>10</v>
      </c>
      <c r="B10" s="178">
        <v>2000</v>
      </c>
      <c r="J10" s="58"/>
      <c r="K10" s="12"/>
      <c r="L10" s="12"/>
      <c r="M10" s="12"/>
      <c r="N10" s="18">
        <f>N9/12</f>
        <v>333.3333333333333</v>
      </c>
      <c r="O10" s="18">
        <f>O9/12</f>
        <v>416.6666666666667</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ht="13.5" thickBot="1">
      <c r="A11" s="216" t="s">
        <v>106</v>
      </c>
      <c r="B11" s="233">
        <v>2000</v>
      </c>
      <c r="J11" s="58"/>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ht="13.5" thickBot="1">
      <c r="A12" s="235" t="s">
        <v>117</v>
      </c>
      <c r="B12" s="234">
        <f>B5-SUM(B6:B11)</f>
        <v>23000</v>
      </c>
      <c r="J12" s="58"/>
      <c r="K12" s="12"/>
      <c r="L12" s="58">
        <v>0.0965229384022685</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58" ht="13.5" thickBot="1">
      <c r="A13" s="216" t="s">
        <v>107</v>
      </c>
      <c r="B13" s="211">
        <v>4000</v>
      </c>
      <c r="J13" s="58"/>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row>
    <row r="14" spans="1:58" ht="13.5" thickBot="1">
      <c r="A14" s="216" t="s">
        <v>109</v>
      </c>
      <c r="B14" s="212">
        <v>4000</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ht="13.5" thickBot="1">
      <c r="A15" s="14" t="s">
        <v>11</v>
      </c>
      <c r="B15" s="236">
        <f>B12-SUM(B13:B14)</f>
        <v>15000</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1:58" ht="13.5" customHeight="1">
      <c r="A16" s="199" t="s">
        <v>104</v>
      </c>
      <c r="B16" s="200">
        <f>L12</f>
        <v>0.0965229384022685</v>
      </c>
      <c r="F16" s="15"/>
      <c r="G16" s="15"/>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1:58" ht="13.5" customHeight="1" thickBot="1">
      <c r="A17" s="217" t="s">
        <v>105</v>
      </c>
      <c r="B17" s="218">
        <v>0.1</v>
      </c>
      <c r="E17" s="15"/>
      <c r="F17" s="15"/>
      <c r="G17" s="15"/>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58" ht="13.5" customHeight="1" thickBot="1">
      <c r="A18" s="213"/>
      <c r="B18" s="214"/>
      <c r="E18" s="15"/>
      <c r="F18" s="15"/>
      <c r="G18" s="15"/>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row>
    <row r="19" spans="1:58" ht="13.5" thickTop="1">
      <c r="A19" s="16" t="s">
        <v>12</v>
      </c>
      <c r="B19" s="198">
        <v>0</v>
      </c>
      <c r="C19" s="17">
        <v>1</v>
      </c>
      <c r="D19" s="179">
        <v>2</v>
      </c>
      <c r="E19" s="185">
        <v>3</v>
      </c>
      <c r="F19" s="186">
        <v>4</v>
      </c>
      <c r="G19" s="186">
        <v>5</v>
      </c>
      <c r="H19" s="186">
        <v>6</v>
      </c>
      <c r="I19" s="187">
        <v>7</v>
      </c>
      <c r="J19" s="183">
        <v>8</v>
      </c>
      <c r="K19" s="17">
        <v>9</v>
      </c>
      <c r="L19" s="17">
        <v>10</v>
      </c>
      <c r="M19" s="17">
        <v>11</v>
      </c>
      <c r="N19" s="17">
        <v>12</v>
      </c>
      <c r="O19" s="17">
        <v>13</v>
      </c>
      <c r="P19" s="17">
        <v>14</v>
      </c>
      <c r="Q19" s="17">
        <v>15</v>
      </c>
      <c r="R19" s="17">
        <v>16</v>
      </c>
      <c r="S19" s="17">
        <v>17</v>
      </c>
      <c r="T19" s="17">
        <v>18</v>
      </c>
      <c r="U19" s="17">
        <v>19</v>
      </c>
      <c r="V19" s="17">
        <v>20</v>
      </c>
      <c r="W19" s="17">
        <v>21</v>
      </c>
      <c r="X19" s="17">
        <v>22</v>
      </c>
      <c r="Y19" s="17">
        <v>23</v>
      </c>
      <c r="Z19" s="17">
        <v>24</v>
      </c>
      <c r="AA19" s="17">
        <v>25</v>
      </c>
      <c r="AB19" s="17">
        <v>26</v>
      </c>
      <c r="AC19" s="17">
        <v>27</v>
      </c>
      <c r="AD19" s="17">
        <v>28</v>
      </c>
      <c r="AE19" s="17">
        <v>29</v>
      </c>
      <c r="AF19" s="17">
        <v>30</v>
      </c>
      <c r="AG19" s="17">
        <v>31</v>
      </c>
      <c r="AH19" s="17">
        <v>32</v>
      </c>
      <c r="AI19" s="17">
        <v>33</v>
      </c>
      <c r="AJ19" s="17">
        <v>34</v>
      </c>
      <c r="AK19" s="17">
        <v>35</v>
      </c>
      <c r="AL19" s="17">
        <v>36</v>
      </c>
      <c r="AM19" s="17">
        <v>37</v>
      </c>
      <c r="AN19" s="17">
        <v>38</v>
      </c>
      <c r="AO19" s="17">
        <v>39</v>
      </c>
      <c r="AP19" s="17">
        <v>40</v>
      </c>
      <c r="AQ19" s="12"/>
      <c r="AR19" s="12"/>
      <c r="AS19" s="12"/>
      <c r="AT19" s="12"/>
      <c r="AU19" s="12"/>
      <c r="AV19" s="12"/>
      <c r="AW19" s="12"/>
      <c r="AX19" s="12"/>
      <c r="AY19" s="12"/>
      <c r="AZ19" s="12"/>
      <c r="BA19" s="12"/>
      <c r="BB19" s="12"/>
      <c r="BC19" s="12"/>
      <c r="BD19" s="12"/>
      <c r="BE19" s="12"/>
      <c r="BF19" s="12"/>
    </row>
    <row r="20" spans="1:58" ht="12.75">
      <c r="A20" s="19" t="s">
        <v>0</v>
      </c>
      <c r="B20" s="20">
        <v>2006</v>
      </c>
      <c r="C20" s="20">
        <v>2007</v>
      </c>
      <c r="D20" s="180" t="s">
        <v>110</v>
      </c>
      <c r="E20" s="188">
        <v>2009</v>
      </c>
      <c r="F20" s="20" t="s">
        <v>111</v>
      </c>
      <c r="G20" s="20">
        <v>2011</v>
      </c>
      <c r="H20" s="20" t="s">
        <v>112</v>
      </c>
      <c r="I20" s="189">
        <v>2013</v>
      </c>
      <c r="J20" s="184">
        <v>2014</v>
      </c>
      <c r="K20" s="20">
        <v>2015</v>
      </c>
      <c r="L20" s="20">
        <v>2016</v>
      </c>
      <c r="M20" s="184">
        <v>2017</v>
      </c>
      <c r="N20" s="20">
        <v>2018</v>
      </c>
      <c r="O20" s="20">
        <v>2019</v>
      </c>
      <c r="P20" s="184">
        <v>2020</v>
      </c>
      <c r="Q20" s="20">
        <v>2021</v>
      </c>
      <c r="R20" s="20">
        <v>2022</v>
      </c>
      <c r="S20" s="184">
        <v>2023</v>
      </c>
      <c r="T20" s="20">
        <v>2024</v>
      </c>
      <c r="U20" s="20">
        <v>2025</v>
      </c>
      <c r="V20" s="184">
        <v>2026</v>
      </c>
      <c r="W20" s="20">
        <v>2027</v>
      </c>
      <c r="X20" s="20">
        <v>2028</v>
      </c>
      <c r="Y20" s="184">
        <v>2029</v>
      </c>
      <c r="Z20" s="20">
        <v>2030</v>
      </c>
      <c r="AA20" s="20">
        <v>2031</v>
      </c>
      <c r="AB20" s="184">
        <v>2032</v>
      </c>
      <c r="AC20" s="20">
        <v>2033</v>
      </c>
      <c r="AD20" s="20">
        <v>2034</v>
      </c>
      <c r="AE20" s="184">
        <v>2035</v>
      </c>
      <c r="AF20" s="20">
        <v>2036</v>
      </c>
      <c r="AG20" s="20">
        <v>2037</v>
      </c>
      <c r="AH20" s="184">
        <v>2038</v>
      </c>
      <c r="AI20" s="20">
        <v>2039</v>
      </c>
      <c r="AJ20" s="20">
        <v>2040</v>
      </c>
      <c r="AK20" s="184">
        <v>2041</v>
      </c>
      <c r="AL20" s="20">
        <v>2042</v>
      </c>
      <c r="AM20" s="20">
        <v>2043</v>
      </c>
      <c r="AN20" s="184">
        <v>2044</v>
      </c>
      <c r="AO20" s="20">
        <v>2045</v>
      </c>
      <c r="AP20" s="20">
        <v>2046</v>
      </c>
      <c r="AQ20" s="12"/>
      <c r="AR20" s="12"/>
      <c r="AS20" s="12"/>
      <c r="AT20" s="12"/>
      <c r="AU20" s="12"/>
      <c r="AV20" s="12"/>
      <c r="AW20" s="12"/>
      <c r="AX20" s="12"/>
      <c r="AY20" s="12"/>
      <c r="AZ20" s="12"/>
      <c r="BA20" s="12"/>
      <c r="BB20" s="12"/>
      <c r="BC20" s="12"/>
      <c r="BD20" s="12"/>
      <c r="BE20" s="12"/>
      <c r="BF20" s="12"/>
    </row>
    <row r="21" spans="1:58" ht="13.5" thickBot="1">
      <c r="A21" s="210" t="s">
        <v>108</v>
      </c>
      <c r="B21" s="190"/>
      <c r="C21" s="190">
        <f>B15</f>
        <v>15000</v>
      </c>
      <c r="D21" s="190">
        <f>(C21)*(1+$B$16)</f>
        <v>16447.844076034027</v>
      </c>
      <c r="E21" s="190">
        <f>(D21-D22)*(1+$B$16)</f>
        <v>12552.823624623834</v>
      </c>
      <c r="F21" s="22">
        <f>(E21-E22)*(1+$B$16)</f>
        <v>8281.844354106599</v>
      </c>
      <c r="G21" s="22">
        <f>(F21-F22)*(1+$B$16)</f>
        <v>3598.617614543863</v>
      </c>
      <c r="H21" s="22">
        <f>(G21-G22)*(1+$B$16)</f>
        <v>0</v>
      </c>
      <c r="I21" s="191">
        <f>(H21-H22)*(1+$B$16)</f>
        <v>0</v>
      </c>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2"/>
      <c r="AR21" s="12"/>
      <c r="AS21" s="12"/>
      <c r="AT21" s="12"/>
      <c r="AU21" s="12"/>
      <c r="AV21" s="12"/>
      <c r="AW21" s="12"/>
      <c r="AX21" s="12"/>
      <c r="AY21" s="12"/>
      <c r="AZ21" s="12"/>
      <c r="BA21" s="12"/>
      <c r="BB21" s="12"/>
      <c r="BC21" s="12"/>
      <c r="BD21" s="12"/>
      <c r="BE21" s="12"/>
      <c r="BF21" s="12"/>
    </row>
    <row r="22" spans="1:9" ht="13.5" thickBot="1">
      <c r="A22" t="s">
        <v>13</v>
      </c>
      <c r="B22" s="238">
        <f>IF(B21&gt;B23,B23,B13)</f>
        <v>4000</v>
      </c>
      <c r="C22" s="239">
        <f>IF(C21&gt;C23,C23,B14)</f>
        <v>4000</v>
      </c>
      <c r="D22" s="232">
        <f aca="true" t="shared" si="2" ref="D22:I22">IF(D21&gt;D23,D23,D21)</f>
        <v>5000</v>
      </c>
      <c r="E22" s="191">
        <f t="shared" si="2"/>
        <v>5000</v>
      </c>
      <c r="F22" s="191">
        <f t="shared" si="2"/>
        <v>5000</v>
      </c>
      <c r="G22" s="191">
        <f t="shared" si="2"/>
        <v>3598.617614543863</v>
      </c>
      <c r="H22" s="191">
        <f t="shared" si="2"/>
        <v>0</v>
      </c>
      <c r="I22" s="191">
        <f t="shared" si="2"/>
        <v>0</v>
      </c>
    </row>
    <row r="23" spans="1:58" ht="12.75">
      <c r="A23" s="23" t="s">
        <v>14</v>
      </c>
      <c r="B23" s="24">
        <v>4000</v>
      </c>
      <c r="C23" s="24">
        <v>4000</v>
      </c>
      <c r="D23" s="181">
        <v>5000</v>
      </c>
      <c r="E23" s="192">
        <v>5000</v>
      </c>
      <c r="F23" s="24">
        <v>5000</v>
      </c>
      <c r="G23" s="24">
        <f>F23</f>
        <v>5000</v>
      </c>
      <c r="H23" s="24">
        <f>G23</f>
        <v>5000</v>
      </c>
      <c r="I23" s="193">
        <f>H23</f>
        <v>5000</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pans="1:58" ht="19.5" customHeight="1" thickBot="1">
      <c r="A24" s="25" t="s">
        <v>15</v>
      </c>
      <c r="B24" s="26">
        <f>B22/B23</f>
        <v>1</v>
      </c>
      <c r="C24" s="26">
        <f aca="true" t="shared" si="3" ref="C24:I24">C22/C23</f>
        <v>1</v>
      </c>
      <c r="D24" s="182">
        <f t="shared" si="3"/>
        <v>1</v>
      </c>
      <c r="E24" s="194">
        <f t="shared" si="3"/>
        <v>1</v>
      </c>
      <c r="F24" s="195">
        <f t="shared" si="3"/>
        <v>1</v>
      </c>
      <c r="G24" s="195">
        <f t="shared" si="3"/>
        <v>0.7197235229087726</v>
      </c>
      <c r="H24" s="195">
        <f t="shared" si="3"/>
        <v>0</v>
      </c>
      <c r="I24" s="196">
        <f t="shared" si="3"/>
        <v>0</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row>
    <row r="25" ht="13.5" customHeight="1" thickTop="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thickBot="1"/>
    <row r="62" spans="1:42" ht="13.5" thickBot="1">
      <c r="A62" s="27" t="s">
        <v>118</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9"/>
    </row>
    <row r="63" spans="1:42" ht="12.75">
      <c r="A63" s="30"/>
      <c r="B63" s="31"/>
      <c r="C63" s="31"/>
      <c r="D63" s="31"/>
      <c r="E63" s="31"/>
      <c r="F63" s="31"/>
      <c r="G63" s="31"/>
      <c r="H63" s="31"/>
      <c r="I63" s="31"/>
      <c r="J63" s="3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32"/>
      <c r="AP63" s="33">
        <f>AP65</f>
        <v>2347855.0228922567</v>
      </c>
    </row>
    <row r="64" spans="1:42" ht="12.75">
      <c r="A64" s="30" t="s">
        <v>116</v>
      </c>
      <c r="B64" s="31">
        <f>B23</f>
        <v>4000</v>
      </c>
      <c r="C64" s="31">
        <f aca="true" t="shared" si="4" ref="C64:H64">C23</f>
        <v>4000</v>
      </c>
      <c r="D64" s="31">
        <f t="shared" si="4"/>
        <v>5000</v>
      </c>
      <c r="E64" s="31">
        <f t="shared" si="4"/>
        <v>5000</v>
      </c>
      <c r="F64" s="31">
        <f t="shared" si="4"/>
        <v>5000</v>
      </c>
      <c r="G64" s="31">
        <f t="shared" si="4"/>
        <v>5000</v>
      </c>
      <c r="H64" s="31">
        <f t="shared" si="4"/>
        <v>5000</v>
      </c>
      <c r="I64" s="31">
        <f>H64</f>
        <v>5000</v>
      </c>
      <c r="J64" s="32">
        <f>I64</f>
        <v>5000</v>
      </c>
      <c r="K64" s="32">
        <f>J64</f>
        <v>5000</v>
      </c>
      <c r="L64" s="32">
        <f aca="true" t="shared" si="5" ref="L64:AN64">K64</f>
        <v>5000</v>
      </c>
      <c r="M64" s="32">
        <f t="shared" si="5"/>
        <v>5000</v>
      </c>
      <c r="N64" s="32">
        <f t="shared" si="5"/>
        <v>5000</v>
      </c>
      <c r="O64" s="32">
        <f t="shared" si="5"/>
        <v>5000</v>
      </c>
      <c r="P64" s="32">
        <f t="shared" si="5"/>
        <v>5000</v>
      </c>
      <c r="Q64" s="32">
        <f t="shared" si="5"/>
        <v>5000</v>
      </c>
      <c r="R64" s="32">
        <f t="shared" si="5"/>
        <v>5000</v>
      </c>
      <c r="S64" s="32">
        <f t="shared" si="5"/>
        <v>5000</v>
      </c>
      <c r="T64" s="32">
        <f t="shared" si="5"/>
        <v>5000</v>
      </c>
      <c r="U64" s="32">
        <f t="shared" si="5"/>
        <v>5000</v>
      </c>
      <c r="V64" s="32">
        <f t="shared" si="5"/>
        <v>5000</v>
      </c>
      <c r="W64" s="32">
        <f t="shared" si="5"/>
        <v>5000</v>
      </c>
      <c r="X64" s="32">
        <f t="shared" si="5"/>
        <v>5000</v>
      </c>
      <c r="Y64" s="32">
        <f t="shared" si="5"/>
        <v>5000</v>
      </c>
      <c r="Z64" s="32">
        <f t="shared" si="5"/>
        <v>5000</v>
      </c>
      <c r="AA64" s="32">
        <f t="shared" si="5"/>
        <v>5000</v>
      </c>
      <c r="AB64" s="32">
        <f t="shared" si="5"/>
        <v>5000</v>
      </c>
      <c r="AC64" s="32">
        <f t="shared" si="5"/>
        <v>5000</v>
      </c>
      <c r="AD64" s="32">
        <f t="shared" si="5"/>
        <v>5000</v>
      </c>
      <c r="AE64" s="32">
        <f t="shared" si="5"/>
        <v>5000</v>
      </c>
      <c r="AF64" s="32">
        <f t="shared" si="5"/>
        <v>5000</v>
      </c>
      <c r="AG64" s="32">
        <f t="shared" si="5"/>
        <v>5000</v>
      </c>
      <c r="AH64" s="32">
        <f t="shared" si="5"/>
        <v>5000</v>
      </c>
      <c r="AI64" s="32">
        <f t="shared" si="5"/>
        <v>5000</v>
      </c>
      <c r="AJ64" s="32">
        <f t="shared" si="5"/>
        <v>5000</v>
      </c>
      <c r="AK64" s="32">
        <f t="shared" si="5"/>
        <v>5000</v>
      </c>
      <c r="AL64" s="32">
        <f t="shared" si="5"/>
        <v>5000</v>
      </c>
      <c r="AM64" s="32">
        <f t="shared" si="5"/>
        <v>5000</v>
      </c>
      <c r="AN64" s="32">
        <f t="shared" si="5"/>
        <v>5000</v>
      </c>
      <c r="AO64" s="32">
        <f>AN64</f>
        <v>5000</v>
      </c>
      <c r="AP64" s="34"/>
    </row>
    <row r="65" spans="1:42" ht="12.75">
      <c r="A65" s="36" t="s">
        <v>16</v>
      </c>
      <c r="B65" s="37">
        <f>B64</f>
        <v>4000</v>
      </c>
      <c r="C65" s="38">
        <f aca="true" t="shared" si="6" ref="C65:AP65">B65*(1+$B$17)+C64</f>
        <v>8400</v>
      </c>
      <c r="D65" s="38">
        <f t="shared" si="6"/>
        <v>14240</v>
      </c>
      <c r="E65" s="38">
        <f t="shared" si="6"/>
        <v>20664</v>
      </c>
      <c r="F65" s="38">
        <f t="shared" si="6"/>
        <v>27730.4</v>
      </c>
      <c r="G65" s="38">
        <f t="shared" si="6"/>
        <v>35503.44</v>
      </c>
      <c r="H65" s="38">
        <f t="shared" si="6"/>
        <v>44053.78400000001</v>
      </c>
      <c r="I65" s="38">
        <f t="shared" si="6"/>
        <v>53459.16240000001</v>
      </c>
      <c r="J65" s="38">
        <f t="shared" si="6"/>
        <v>63805.078640000014</v>
      </c>
      <c r="K65" s="38">
        <f t="shared" si="6"/>
        <v>75185.58650400002</v>
      </c>
      <c r="L65" s="38">
        <f t="shared" si="6"/>
        <v>87704.14515440003</v>
      </c>
      <c r="M65" s="38">
        <f t="shared" si="6"/>
        <v>101474.55966984005</v>
      </c>
      <c r="N65" s="38">
        <f t="shared" si="6"/>
        <v>116622.01563682406</v>
      </c>
      <c r="O65" s="38">
        <f t="shared" si="6"/>
        <v>133284.21720050648</v>
      </c>
      <c r="P65" s="38">
        <f t="shared" si="6"/>
        <v>151612.63892055713</v>
      </c>
      <c r="Q65" s="38">
        <f t="shared" si="6"/>
        <v>171773.90281261285</v>
      </c>
      <c r="R65" s="38">
        <f t="shared" si="6"/>
        <v>193951.29309387415</v>
      </c>
      <c r="S65" s="38">
        <f t="shared" si="6"/>
        <v>218346.4224032616</v>
      </c>
      <c r="T65" s="38">
        <f t="shared" si="6"/>
        <v>245181.06464358777</v>
      </c>
      <c r="U65" s="38">
        <f t="shared" si="6"/>
        <v>274699.17110794655</v>
      </c>
      <c r="V65" s="38">
        <f t="shared" si="6"/>
        <v>307169.08821874124</v>
      </c>
      <c r="W65" s="38">
        <f t="shared" si="6"/>
        <v>342885.99704061536</v>
      </c>
      <c r="X65" s="38">
        <f t="shared" si="6"/>
        <v>382174.59674467694</v>
      </c>
      <c r="Y65" s="38">
        <f t="shared" si="6"/>
        <v>425392.0564191447</v>
      </c>
      <c r="Z65" s="38">
        <f t="shared" si="6"/>
        <v>472931.2620610592</v>
      </c>
      <c r="AA65" s="38">
        <f t="shared" si="6"/>
        <v>525224.3882671652</v>
      </c>
      <c r="AB65" s="38">
        <f t="shared" si="6"/>
        <v>582746.8270938818</v>
      </c>
      <c r="AC65" s="38">
        <f t="shared" si="6"/>
        <v>646021.50980327</v>
      </c>
      <c r="AD65" s="38">
        <f t="shared" si="6"/>
        <v>715623.660783597</v>
      </c>
      <c r="AE65" s="38">
        <f t="shared" si="6"/>
        <v>792186.0268619568</v>
      </c>
      <c r="AF65" s="38">
        <f t="shared" si="6"/>
        <v>876404.6295481526</v>
      </c>
      <c r="AG65" s="38">
        <f t="shared" si="6"/>
        <v>969045.0925029679</v>
      </c>
      <c r="AH65" s="38">
        <f t="shared" si="6"/>
        <v>1070949.601753265</v>
      </c>
      <c r="AI65" s="38">
        <f t="shared" si="6"/>
        <v>1183044.5619285915</v>
      </c>
      <c r="AJ65" s="38">
        <f t="shared" si="6"/>
        <v>1306349.0181214507</v>
      </c>
      <c r="AK65" s="38">
        <f t="shared" si="6"/>
        <v>1441983.919933596</v>
      </c>
      <c r="AL65" s="38">
        <f t="shared" si="6"/>
        <v>1591182.3119269556</v>
      </c>
      <c r="AM65" s="38">
        <f t="shared" si="6"/>
        <v>1755300.5431196513</v>
      </c>
      <c r="AN65" s="38">
        <f t="shared" si="6"/>
        <v>1935830.5974316166</v>
      </c>
      <c r="AO65" s="38">
        <f t="shared" si="6"/>
        <v>2134413.6571747786</v>
      </c>
      <c r="AP65" s="38">
        <f t="shared" si="6"/>
        <v>2347855.0228922567</v>
      </c>
    </row>
    <row r="66" ht="11.25" customHeight="1" thickBot="1"/>
    <row r="67" spans="1:42" ht="13.5" thickBot="1">
      <c r="A67" s="39" t="s">
        <v>120</v>
      </c>
      <c r="B67" s="28"/>
      <c r="C67" s="28"/>
      <c r="D67" s="28"/>
      <c r="E67" s="56"/>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9"/>
    </row>
    <row r="68" spans="1:42" ht="12.75">
      <c r="A68" s="30"/>
      <c r="B68" s="31"/>
      <c r="C68" s="31"/>
      <c r="D68" s="31"/>
      <c r="E68" s="57"/>
      <c r="F68" s="31"/>
      <c r="G68" s="31"/>
      <c r="H68" s="31"/>
      <c r="I68" s="31"/>
      <c r="J68" s="3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32"/>
      <c r="AP68" s="33">
        <f>AP70</f>
        <v>2347855.0228922567</v>
      </c>
    </row>
    <row r="69" spans="1:42" ht="12.75">
      <c r="A69" s="30" t="s">
        <v>116</v>
      </c>
      <c r="B69" s="31">
        <f>B22</f>
        <v>4000</v>
      </c>
      <c r="C69" s="31">
        <f>C22</f>
        <v>4000</v>
      </c>
      <c r="D69" s="31">
        <f>D22</f>
        <v>5000</v>
      </c>
      <c r="E69" s="57">
        <f>E22</f>
        <v>5000</v>
      </c>
      <c r="F69" s="31">
        <f>F23</f>
        <v>5000</v>
      </c>
      <c r="G69" s="31">
        <f>F69</f>
        <v>5000</v>
      </c>
      <c r="H69" s="31">
        <f>G69</f>
        <v>5000</v>
      </c>
      <c r="I69" s="31">
        <f>H69</f>
        <v>5000</v>
      </c>
      <c r="J69" s="32">
        <f>I69</f>
        <v>5000</v>
      </c>
      <c r="K69" s="32">
        <f>J69</f>
        <v>5000</v>
      </c>
      <c r="L69" s="32">
        <f aca="true" t="shared" si="7" ref="L69:AN69">K69</f>
        <v>5000</v>
      </c>
      <c r="M69" s="32">
        <f t="shared" si="7"/>
        <v>5000</v>
      </c>
      <c r="N69" s="32">
        <f t="shared" si="7"/>
        <v>5000</v>
      </c>
      <c r="O69" s="32">
        <f t="shared" si="7"/>
        <v>5000</v>
      </c>
      <c r="P69" s="32">
        <f t="shared" si="7"/>
        <v>5000</v>
      </c>
      <c r="Q69" s="32">
        <f t="shared" si="7"/>
        <v>5000</v>
      </c>
      <c r="R69" s="32">
        <f t="shared" si="7"/>
        <v>5000</v>
      </c>
      <c r="S69" s="32">
        <f t="shared" si="7"/>
        <v>5000</v>
      </c>
      <c r="T69" s="32">
        <f t="shared" si="7"/>
        <v>5000</v>
      </c>
      <c r="U69" s="32">
        <f t="shared" si="7"/>
        <v>5000</v>
      </c>
      <c r="V69" s="32">
        <f t="shared" si="7"/>
        <v>5000</v>
      </c>
      <c r="W69" s="32">
        <f t="shared" si="7"/>
        <v>5000</v>
      </c>
      <c r="X69" s="32">
        <f t="shared" si="7"/>
        <v>5000</v>
      </c>
      <c r="Y69" s="32">
        <f t="shared" si="7"/>
        <v>5000</v>
      </c>
      <c r="Z69" s="32">
        <f t="shared" si="7"/>
        <v>5000</v>
      </c>
      <c r="AA69" s="32">
        <f t="shared" si="7"/>
        <v>5000</v>
      </c>
      <c r="AB69" s="32">
        <f t="shared" si="7"/>
        <v>5000</v>
      </c>
      <c r="AC69" s="32">
        <f t="shared" si="7"/>
        <v>5000</v>
      </c>
      <c r="AD69" s="32">
        <f t="shared" si="7"/>
        <v>5000</v>
      </c>
      <c r="AE69" s="32">
        <f t="shared" si="7"/>
        <v>5000</v>
      </c>
      <c r="AF69" s="32">
        <f t="shared" si="7"/>
        <v>5000</v>
      </c>
      <c r="AG69" s="32">
        <f t="shared" si="7"/>
        <v>5000</v>
      </c>
      <c r="AH69" s="32">
        <f t="shared" si="7"/>
        <v>5000</v>
      </c>
      <c r="AI69" s="32">
        <f t="shared" si="7"/>
        <v>5000</v>
      </c>
      <c r="AJ69" s="32">
        <f t="shared" si="7"/>
        <v>5000</v>
      </c>
      <c r="AK69" s="32">
        <f t="shared" si="7"/>
        <v>5000</v>
      </c>
      <c r="AL69" s="32">
        <f t="shared" si="7"/>
        <v>5000</v>
      </c>
      <c r="AM69" s="32">
        <f t="shared" si="7"/>
        <v>5000</v>
      </c>
      <c r="AN69" s="32">
        <f t="shared" si="7"/>
        <v>5000</v>
      </c>
      <c r="AO69" s="32">
        <f>AN69</f>
        <v>5000</v>
      </c>
      <c r="AP69" s="34"/>
    </row>
    <row r="70" spans="1:42" ht="12.75">
      <c r="A70" s="42" t="s">
        <v>16</v>
      </c>
      <c r="B70" s="43">
        <f>B69</f>
        <v>4000</v>
      </c>
      <c r="C70" s="44">
        <f aca="true" t="shared" si="8" ref="C70:AP70">B70*(1+$B$17)+C69</f>
        <v>8400</v>
      </c>
      <c r="D70" s="44">
        <f t="shared" si="8"/>
        <v>14240</v>
      </c>
      <c r="E70" s="44">
        <f t="shared" si="8"/>
        <v>20664</v>
      </c>
      <c r="F70" s="44">
        <f t="shared" si="8"/>
        <v>27730.4</v>
      </c>
      <c r="G70" s="44">
        <f t="shared" si="8"/>
        <v>35503.44</v>
      </c>
      <c r="H70" s="44">
        <f t="shared" si="8"/>
        <v>44053.78400000001</v>
      </c>
      <c r="I70" s="44">
        <f t="shared" si="8"/>
        <v>53459.16240000001</v>
      </c>
      <c r="J70" s="44">
        <f t="shared" si="8"/>
        <v>63805.078640000014</v>
      </c>
      <c r="K70" s="44">
        <f t="shared" si="8"/>
        <v>75185.58650400002</v>
      </c>
      <c r="L70" s="44">
        <f t="shared" si="8"/>
        <v>87704.14515440003</v>
      </c>
      <c r="M70" s="44">
        <f t="shared" si="8"/>
        <v>101474.55966984005</v>
      </c>
      <c r="N70" s="44">
        <f t="shared" si="8"/>
        <v>116622.01563682406</v>
      </c>
      <c r="O70" s="44">
        <f t="shared" si="8"/>
        <v>133284.21720050648</v>
      </c>
      <c r="P70" s="44">
        <f t="shared" si="8"/>
        <v>151612.63892055713</v>
      </c>
      <c r="Q70" s="44">
        <f t="shared" si="8"/>
        <v>171773.90281261285</v>
      </c>
      <c r="R70" s="44">
        <f t="shared" si="8"/>
        <v>193951.29309387415</v>
      </c>
      <c r="S70" s="44">
        <f t="shared" si="8"/>
        <v>218346.4224032616</v>
      </c>
      <c r="T70" s="44">
        <f t="shared" si="8"/>
        <v>245181.06464358777</v>
      </c>
      <c r="U70" s="44">
        <f t="shared" si="8"/>
        <v>274699.17110794655</v>
      </c>
      <c r="V70" s="44">
        <f t="shared" si="8"/>
        <v>307169.08821874124</v>
      </c>
      <c r="W70" s="44">
        <f t="shared" si="8"/>
        <v>342885.99704061536</v>
      </c>
      <c r="X70" s="44">
        <f t="shared" si="8"/>
        <v>382174.59674467694</v>
      </c>
      <c r="Y70" s="44">
        <f t="shared" si="8"/>
        <v>425392.0564191447</v>
      </c>
      <c r="Z70" s="44">
        <f t="shared" si="8"/>
        <v>472931.2620610592</v>
      </c>
      <c r="AA70" s="44">
        <f t="shared" si="8"/>
        <v>525224.3882671652</v>
      </c>
      <c r="AB70" s="44">
        <f t="shared" si="8"/>
        <v>582746.8270938818</v>
      </c>
      <c r="AC70" s="44">
        <f t="shared" si="8"/>
        <v>646021.50980327</v>
      </c>
      <c r="AD70" s="44">
        <f t="shared" si="8"/>
        <v>715623.660783597</v>
      </c>
      <c r="AE70" s="44">
        <f t="shared" si="8"/>
        <v>792186.0268619568</v>
      </c>
      <c r="AF70" s="44">
        <f t="shared" si="8"/>
        <v>876404.6295481526</v>
      </c>
      <c r="AG70" s="44">
        <f t="shared" si="8"/>
        <v>969045.0925029679</v>
      </c>
      <c r="AH70" s="44">
        <f t="shared" si="8"/>
        <v>1070949.601753265</v>
      </c>
      <c r="AI70" s="44">
        <f t="shared" si="8"/>
        <v>1183044.5619285915</v>
      </c>
      <c r="AJ70" s="44">
        <f t="shared" si="8"/>
        <v>1306349.0181214507</v>
      </c>
      <c r="AK70" s="44">
        <f t="shared" si="8"/>
        <v>1441983.919933596</v>
      </c>
      <c r="AL70" s="44">
        <f t="shared" si="8"/>
        <v>1591182.3119269556</v>
      </c>
      <c r="AM70" s="44">
        <f t="shared" si="8"/>
        <v>1755300.5431196513</v>
      </c>
      <c r="AN70" s="44">
        <f t="shared" si="8"/>
        <v>1935830.5974316166</v>
      </c>
      <c r="AO70" s="44">
        <f t="shared" si="8"/>
        <v>2134413.6571747786</v>
      </c>
      <c r="AP70" s="44">
        <f t="shared" si="8"/>
        <v>2347855.0228922567</v>
      </c>
    </row>
    <row r="71" spans="1:42" s="220" customFormat="1" ht="13.5" thickBot="1">
      <c r="A71" s="219"/>
      <c r="B71" s="206"/>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row>
    <row r="72" spans="1:42" ht="13.5" thickBot="1">
      <c r="A72" s="45" t="s">
        <v>121</v>
      </c>
      <c r="B72" s="28"/>
      <c r="C72" s="28"/>
      <c r="D72" s="28"/>
      <c r="E72" s="28"/>
      <c r="F72" s="28"/>
      <c r="G72" s="28"/>
      <c r="H72" s="28"/>
      <c r="I72" s="40"/>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9"/>
    </row>
    <row r="73" spans="1:42" ht="12.75">
      <c r="A73" s="30"/>
      <c r="B73" s="31"/>
      <c r="C73" s="31"/>
      <c r="D73" s="31"/>
      <c r="E73" s="31"/>
      <c r="F73" s="31"/>
      <c r="G73" s="31"/>
      <c r="H73" s="31"/>
      <c r="I73" s="41"/>
      <c r="J73" s="3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32"/>
      <c r="AP73" s="33">
        <f>AP75</f>
        <v>2180734.4135956015</v>
      </c>
    </row>
    <row r="74" spans="1:42" ht="12.75">
      <c r="A74" s="30" t="s">
        <v>116</v>
      </c>
      <c r="B74" s="31">
        <f>B22</f>
        <v>4000</v>
      </c>
      <c r="C74" s="31">
        <f aca="true" t="shared" si="9" ref="C74:H74">C22</f>
        <v>4000</v>
      </c>
      <c r="D74" s="31">
        <f t="shared" si="9"/>
        <v>5000</v>
      </c>
      <c r="E74" s="31">
        <f t="shared" si="9"/>
        <v>5000</v>
      </c>
      <c r="F74" s="31">
        <f t="shared" si="9"/>
        <v>5000</v>
      </c>
      <c r="G74" s="31">
        <f t="shared" si="9"/>
        <v>3598.617614543863</v>
      </c>
      <c r="H74" s="31">
        <f t="shared" si="9"/>
        <v>0</v>
      </c>
      <c r="I74" s="41">
        <f>I64</f>
        <v>5000</v>
      </c>
      <c r="J74" s="32">
        <f>I74</f>
        <v>5000</v>
      </c>
      <c r="K74" s="32">
        <f>J74</f>
        <v>5000</v>
      </c>
      <c r="L74" s="32">
        <f aca="true" t="shared" si="10" ref="L74:AN74">K74</f>
        <v>5000</v>
      </c>
      <c r="M74" s="32">
        <f t="shared" si="10"/>
        <v>5000</v>
      </c>
      <c r="N74" s="32">
        <f t="shared" si="10"/>
        <v>5000</v>
      </c>
      <c r="O74" s="32">
        <f t="shared" si="10"/>
        <v>5000</v>
      </c>
      <c r="P74" s="32">
        <f t="shared" si="10"/>
        <v>5000</v>
      </c>
      <c r="Q74" s="32">
        <f t="shared" si="10"/>
        <v>5000</v>
      </c>
      <c r="R74" s="32">
        <f t="shared" si="10"/>
        <v>5000</v>
      </c>
      <c r="S74" s="32">
        <f t="shared" si="10"/>
        <v>5000</v>
      </c>
      <c r="T74" s="32">
        <f t="shared" si="10"/>
        <v>5000</v>
      </c>
      <c r="U74" s="32">
        <f t="shared" si="10"/>
        <v>5000</v>
      </c>
      <c r="V74" s="32">
        <f t="shared" si="10"/>
        <v>5000</v>
      </c>
      <c r="W74" s="32">
        <f t="shared" si="10"/>
        <v>5000</v>
      </c>
      <c r="X74" s="32">
        <f t="shared" si="10"/>
        <v>5000</v>
      </c>
      <c r="Y74" s="32">
        <f t="shared" si="10"/>
        <v>5000</v>
      </c>
      <c r="Z74" s="32">
        <f t="shared" si="10"/>
        <v>5000</v>
      </c>
      <c r="AA74" s="32">
        <f t="shared" si="10"/>
        <v>5000</v>
      </c>
      <c r="AB74" s="32">
        <f t="shared" si="10"/>
        <v>5000</v>
      </c>
      <c r="AC74" s="32">
        <f t="shared" si="10"/>
        <v>5000</v>
      </c>
      <c r="AD74" s="32">
        <f t="shared" si="10"/>
        <v>5000</v>
      </c>
      <c r="AE74" s="32">
        <f t="shared" si="10"/>
        <v>5000</v>
      </c>
      <c r="AF74" s="32">
        <f t="shared" si="10"/>
        <v>5000</v>
      </c>
      <c r="AG74" s="32">
        <f t="shared" si="10"/>
        <v>5000</v>
      </c>
      <c r="AH74" s="32">
        <f t="shared" si="10"/>
        <v>5000</v>
      </c>
      <c r="AI74" s="32">
        <f t="shared" si="10"/>
        <v>5000</v>
      </c>
      <c r="AJ74" s="32">
        <f t="shared" si="10"/>
        <v>5000</v>
      </c>
      <c r="AK74" s="32">
        <f t="shared" si="10"/>
        <v>5000</v>
      </c>
      <c r="AL74" s="32">
        <f t="shared" si="10"/>
        <v>5000</v>
      </c>
      <c r="AM74" s="32">
        <f t="shared" si="10"/>
        <v>5000</v>
      </c>
      <c r="AN74" s="32">
        <f t="shared" si="10"/>
        <v>5000</v>
      </c>
      <c r="AO74" s="32">
        <f>AN74</f>
        <v>5000</v>
      </c>
      <c r="AP74" s="34"/>
    </row>
    <row r="75" spans="1:42" ht="12.75">
      <c r="A75" s="46" t="s">
        <v>16</v>
      </c>
      <c r="B75" s="47">
        <f>B74</f>
        <v>4000</v>
      </c>
      <c r="C75" s="48">
        <f aca="true" t="shared" si="11" ref="C75:AP75">B75*(1+$B$17)+C74</f>
        <v>8400</v>
      </c>
      <c r="D75" s="48">
        <f t="shared" si="11"/>
        <v>14240</v>
      </c>
      <c r="E75" s="48">
        <f t="shared" si="11"/>
        <v>20664</v>
      </c>
      <c r="F75" s="48">
        <f t="shared" si="11"/>
        <v>27730.4</v>
      </c>
      <c r="G75" s="48">
        <f t="shared" si="11"/>
        <v>34102.05761454387</v>
      </c>
      <c r="H75" s="48">
        <f t="shared" si="11"/>
        <v>37512.26337599826</v>
      </c>
      <c r="I75" s="48">
        <f t="shared" si="11"/>
        <v>46263.48971359809</v>
      </c>
      <c r="J75" s="48">
        <f t="shared" si="11"/>
        <v>55889.8386849579</v>
      </c>
      <c r="K75" s="48">
        <f t="shared" si="11"/>
        <v>66478.82255345369</v>
      </c>
      <c r="L75" s="48">
        <f t="shared" si="11"/>
        <v>78126.70480879907</v>
      </c>
      <c r="M75" s="48">
        <f t="shared" si="11"/>
        <v>90939.37528967898</v>
      </c>
      <c r="N75" s="48">
        <f t="shared" si="11"/>
        <v>105033.31281864688</v>
      </c>
      <c r="O75" s="48">
        <f t="shared" si="11"/>
        <v>120536.64410051158</v>
      </c>
      <c r="P75" s="48">
        <f t="shared" si="11"/>
        <v>137590.30851056275</v>
      </c>
      <c r="Q75" s="48">
        <f t="shared" si="11"/>
        <v>156349.33936161903</v>
      </c>
      <c r="R75" s="48">
        <f t="shared" si="11"/>
        <v>176984.27329778095</v>
      </c>
      <c r="S75" s="48">
        <f t="shared" si="11"/>
        <v>199682.70062755907</v>
      </c>
      <c r="T75" s="48">
        <f t="shared" si="11"/>
        <v>224650.970690315</v>
      </c>
      <c r="U75" s="48">
        <f t="shared" si="11"/>
        <v>252116.06775934654</v>
      </c>
      <c r="V75" s="48">
        <f t="shared" si="11"/>
        <v>282327.6745352812</v>
      </c>
      <c r="W75" s="48">
        <f t="shared" si="11"/>
        <v>315560.4419888093</v>
      </c>
      <c r="X75" s="48">
        <f t="shared" si="11"/>
        <v>352116.4861876903</v>
      </c>
      <c r="Y75" s="48">
        <f t="shared" si="11"/>
        <v>392328.13480645936</v>
      </c>
      <c r="Z75" s="48">
        <f t="shared" si="11"/>
        <v>436560.9482871053</v>
      </c>
      <c r="AA75" s="48">
        <f t="shared" si="11"/>
        <v>485217.04311581585</v>
      </c>
      <c r="AB75" s="48">
        <f t="shared" si="11"/>
        <v>538738.7474273975</v>
      </c>
      <c r="AC75" s="48">
        <f t="shared" si="11"/>
        <v>597612.6221701374</v>
      </c>
      <c r="AD75" s="48">
        <f t="shared" si="11"/>
        <v>662373.8843871511</v>
      </c>
      <c r="AE75" s="48">
        <f t="shared" si="11"/>
        <v>733611.2728258662</v>
      </c>
      <c r="AF75" s="48">
        <f t="shared" si="11"/>
        <v>811972.4001084529</v>
      </c>
      <c r="AG75" s="48">
        <f t="shared" si="11"/>
        <v>898169.6401192982</v>
      </c>
      <c r="AH75" s="48">
        <f t="shared" si="11"/>
        <v>992986.6041312282</v>
      </c>
      <c r="AI75" s="48">
        <f t="shared" si="11"/>
        <v>1097285.264544351</v>
      </c>
      <c r="AJ75" s="48">
        <f t="shared" si="11"/>
        <v>1212013.7909987862</v>
      </c>
      <c r="AK75" s="48">
        <f t="shared" si="11"/>
        <v>1338215.170098665</v>
      </c>
      <c r="AL75" s="48">
        <f t="shared" si="11"/>
        <v>1477036.6871085316</v>
      </c>
      <c r="AM75" s="48">
        <f t="shared" si="11"/>
        <v>1629740.3558193848</v>
      </c>
      <c r="AN75" s="48">
        <f t="shared" si="11"/>
        <v>1797714.3914013235</v>
      </c>
      <c r="AO75" s="48">
        <f t="shared" si="11"/>
        <v>1982485.830541456</v>
      </c>
      <c r="AP75" s="48">
        <f t="shared" si="11"/>
        <v>2180734.4135956015</v>
      </c>
    </row>
    <row r="76" ht="13.5" thickBot="1"/>
    <row r="77" spans="1:42" ht="13.5" thickBot="1">
      <c r="A77" s="197" t="s">
        <v>122</v>
      </c>
      <c r="B77" s="28"/>
      <c r="C77" s="28"/>
      <c r="D77" s="28"/>
      <c r="E77" s="28"/>
      <c r="F77" s="28"/>
      <c r="G77" s="28"/>
      <c r="H77" s="28"/>
      <c r="I77" s="56"/>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9"/>
    </row>
    <row r="78" spans="1:42" ht="12.75">
      <c r="A78" s="30"/>
      <c r="B78" s="31"/>
      <c r="C78" s="31"/>
      <c r="D78" s="31"/>
      <c r="E78" s="31"/>
      <c r="F78" s="31"/>
      <c r="G78" s="31"/>
      <c r="H78" s="31"/>
      <c r="I78" s="57"/>
      <c r="J78" s="3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32"/>
      <c r="AP78" s="33">
        <f>AP80</f>
        <v>2064608.6414961633</v>
      </c>
    </row>
    <row r="79" spans="1:42" ht="12.75">
      <c r="A79" s="30" t="s">
        <v>116</v>
      </c>
      <c r="B79" s="31">
        <f aca="true" t="shared" si="12" ref="B79:I79">B22</f>
        <v>4000</v>
      </c>
      <c r="C79" s="31">
        <f t="shared" si="12"/>
        <v>4000</v>
      </c>
      <c r="D79" s="31">
        <f t="shared" si="12"/>
        <v>5000</v>
      </c>
      <c r="E79" s="31">
        <f t="shared" si="12"/>
        <v>5000</v>
      </c>
      <c r="F79" s="31">
        <f t="shared" si="12"/>
        <v>5000</v>
      </c>
      <c r="G79" s="31">
        <f t="shared" si="12"/>
        <v>3598.617614543863</v>
      </c>
      <c r="H79" s="31">
        <f t="shared" si="12"/>
        <v>0</v>
      </c>
      <c r="I79" s="57">
        <f t="shared" si="12"/>
        <v>0</v>
      </c>
      <c r="J79" s="31">
        <f>I64</f>
        <v>5000</v>
      </c>
      <c r="K79" s="31">
        <f aca="true" t="shared" si="13" ref="K79:AO79">J79</f>
        <v>5000</v>
      </c>
      <c r="L79" s="31">
        <f t="shared" si="13"/>
        <v>5000</v>
      </c>
      <c r="M79" s="31">
        <f t="shared" si="13"/>
        <v>5000</v>
      </c>
      <c r="N79" s="31">
        <f t="shared" si="13"/>
        <v>5000</v>
      </c>
      <c r="O79" s="31">
        <f t="shared" si="13"/>
        <v>5000</v>
      </c>
      <c r="P79" s="31">
        <f t="shared" si="13"/>
        <v>5000</v>
      </c>
      <c r="Q79" s="31">
        <f t="shared" si="13"/>
        <v>5000</v>
      </c>
      <c r="R79" s="31">
        <f t="shared" si="13"/>
        <v>5000</v>
      </c>
      <c r="S79" s="31">
        <f t="shared" si="13"/>
        <v>5000</v>
      </c>
      <c r="T79" s="31">
        <f t="shared" si="13"/>
        <v>5000</v>
      </c>
      <c r="U79" s="31">
        <f t="shared" si="13"/>
        <v>5000</v>
      </c>
      <c r="V79" s="31">
        <f t="shared" si="13"/>
        <v>5000</v>
      </c>
      <c r="W79" s="31">
        <f t="shared" si="13"/>
        <v>5000</v>
      </c>
      <c r="X79" s="31">
        <f t="shared" si="13"/>
        <v>5000</v>
      </c>
      <c r="Y79" s="31">
        <f t="shared" si="13"/>
        <v>5000</v>
      </c>
      <c r="Z79" s="31">
        <f t="shared" si="13"/>
        <v>5000</v>
      </c>
      <c r="AA79" s="31">
        <f t="shared" si="13"/>
        <v>5000</v>
      </c>
      <c r="AB79" s="31">
        <f t="shared" si="13"/>
        <v>5000</v>
      </c>
      <c r="AC79" s="31">
        <f t="shared" si="13"/>
        <v>5000</v>
      </c>
      <c r="AD79" s="31">
        <f t="shared" si="13"/>
        <v>5000</v>
      </c>
      <c r="AE79" s="31">
        <f t="shared" si="13"/>
        <v>5000</v>
      </c>
      <c r="AF79" s="31">
        <f t="shared" si="13"/>
        <v>5000</v>
      </c>
      <c r="AG79" s="31">
        <f t="shared" si="13"/>
        <v>5000</v>
      </c>
      <c r="AH79" s="31">
        <f t="shared" si="13"/>
        <v>5000</v>
      </c>
      <c r="AI79" s="31">
        <f t="shared" si="13"/>
        <v>5000</v>
      </c>
      <c r="AJ79" s="31">
        <f t="shared" si="13"/>
        <v>5000</v>
      </c>
      <c r="AK79" s="31">
        <f t="shared" si="13"/>
        <v>5000</v>
      </c>
      <c r="AL79" s="31">
        <f t="shared" si="13"/>
        <v>5000</v>
      </c>
      <c r="AM79" s="31">
        <f t="shared" si="13"/>
        <v>5000</v>
      </c>
      <c r="AN79" s="31">
        <f t="shared" si="13"/>
        <v>5000</v>
      </c>
      <c r="AO79" s="31">
        <f t="shared" si="13"/>
        <v>5000</v>
      </c>
      <c r="AP79" s="34"/>
    </row>
    <row r="80" spans="1:42" ht="13.5" thickBot="1">
      <c r="A80" s="221" t="s">
        <v>16</v>
      </c>
      <c r="B80" s="222">
        <f>B79</f>
        <v>4000</v>
      </c>
      <c r="C80" s="223">
        <f aca="true" t="shared" si="14" ref="C80:AP80">B80*(1+$B$17)+C79</f>
        <v>8400</v>
      </c>
      <c r="D80" s="223">
        <f t="shared" si="14"/>
        <v>14240</v>
      </c>
      <c r="E80" s="223">
        <f t="shared" si="14"/>
        <v>20664</v>
      </c>
      <c r="F80" s="223">
        <f t="shared" si="14"/>
        <v>27730.4</v>
      </c>
      <c r="G80" s="223">
        <f t="shared" si="14"/>
        <v>34102.05761454387</v>
      </c>
      <c r="H80" s="223">
        <f t="shared" si="14"/>
        <v>37512.26337599826</v>
      </c>
      <c r="I80" s="223">
        <f t="shared" si="14"/>
        <v>41263.48971359809</v>
      </c>
      <c r="J80" s="223">
        <f t="shared" si="14"/>
        <v>50389.8386849579</v>
      </c>
      <c r="K80" s="223">
        <f t="shared" si="14"/>
        <v>60428.82255345369</v>
      </c>
      <c r="L80" s="223">
        <f t="shared" si="14"/>
        <v>71471.70480879907</v>
      </c>
      <c r="M80" s="223">
        <f t="shared" si="14"/>
        <v>83618.87528967898</v>
      </c>
      <c r="N80" s="223">
        <f t="shared" si="14"/>
        <v>96980.7628186469</v>
      </c>
      <c r="O80" s="223">
        <f t="shared" si="14"/>
        <v>111678.83910051158</v>
      </c>
      <c r="P80" s="223">
        <f t="shared" si="14"/>
        <v>127846.72301056275</v>
      </c>
      <c r="Q80" s="223">
        <f t="shared" si="14"/>
        <v>145631.39531161904</v>
      </c>
      <c r="R80" s="223">
        <f t="shared" si="14"/>
        <v>165194.53484278097</v>
      </c>
      <c r="S80" s="223">
        <f t="shared" si="14"/>
        <v>186713.98832705908</v>
      </c>
      <c r="T80" s="223">
        <f t="shared" si="14"/>
        <v>210385.387159765</v>
      </c>
      <c r="U80" s="223">
        <f t="shared" si="14"/>
        <v>236423.92587574152</v>
      </c>
      <c r="V80" s="223">
        <f t="shared" si="14"/>
        <v>265066.3184633157</v>
      </c>
      <c r="W80" s="223">
        <f t="shared" si="14"/>
        <v>296572.9503096473</v>
      </c>
      <c r="X80" s="223">
        <f t="shared" si="14"/>
        <v>331230.2453406121</v>
      </c>
      <c r="Y80" s="223">
        <f t="shared" si="14"/>
        <v>369353.26987467334</v>
      </c>
      <c r="Z80" s="223">
        <f t="shared" si="14"/>
        <v>411288.5968621407</v>
      </c>
      <c r="AA80" s="223">
        <f t="shared" si="14"/>
        <v>457417.4565483548</v>
      </c>
      <c r="AB80" s="223">
        <f t="shared" si="14"/>
        <v>508159.20220319036</v>
      </c>
      <c r="AC80" s="223">
        <f t="shared" si="14"/>
        <v>563975.1224235095</v>
      </c>
      <c r="AD80" s="223">
        <f t="shared" si="14"/>
        <v>625372.6346658604</v>
      </c>
      <c r="AE80" s="223">
        <f t="shared" si="14"/>
        <v>692909.8981324466</v>
      </c>
      <c r="AF80" s="223">
        <f t="shared" si="14"/>
        <v>767200.8879456912</v>
      </c>
      <c r="AG80" s="223">
        <f t="shared" si="14"/>
        <v>848920.9767402604</v>
      </c>
      <c r="AH80" s="223">
        <f t="shared" si="14"/>
        <v>938813.0744142865</v>
      </c>
      <c r="AI80" s="223">
        <f t="shared" si="14"/>
        <v>1037694.3818557153</v>
      </c>
      <c r="AJ80" s="223">
        <f t="shared" si="14"/>
        <v>1146463.820041287</v>
      </c>
      <c r="AK80" s="223">
        <f t="shared" si="14"/>
        <v>1266110.2020454158</v>
      </c>
      <c r="AL80" s="223">
        <f t="shared" si="14"/>
        <v>1397721.2222499575</v>
      </c>
      <c r="AM80" s="223">
        <f t="shared" si="14"/>
        <v>1542493.3444749534</v>
      </c>
      <c r="AN80" s="223">
        <f t="shared" si="14"/>
        <v>1701742.6789224488</v>
      </c>
      <c r="AO80" s="223">
        <f t="shared" si="14"/>
        <v>1876916.9468146937</v>
      </c>
      <c r="AP80" s="224">
        <f t="shared" si="14"/>
        <v>2064608.6414961633</v>
      </c>
    </row>
    <row r="81" ht="13.5" thickBot="1"/>
    <row r="82" spans="1:42" ht="13.5" thickBot="1">
      <c r="A82" s="225" t="s">
        <v>119</v>
      </c>
      <c r="B82" s="28"/>
      <c r="C82" s="28"/>
      <c r="D82" s="28"/>
      <c r="E82" s="28"/>
      <c r="F82" s="28"/>
      <c r="G82" s="28"/>
      <c r="H82" s="28"/>
      <c r="I82" s="28"/>
      <c r="J82" s="40"/>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9"/>
    </row>
    <row r="83" spans="1:42" ht="12.75">
      <c r="A83" s="30"/>
      <c r="B83" s="31"/>
      <c r="C83" s="31"/>
      <c r="D83" s="31"/>
      <c r="E83" s="31"/>
      <c r="F83" s="31"/>
      <c r="G83" s="31"/>
      <c r="H83" s="31"/>
      <c r="I83" s="31"/>
      <c r="J83" s="4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32"/>
      <c r="AP83" s="33">
        <f>AP85</f>
        <v>1106257.7209943926</v>
      </c>
    </row>
    <row r="84" spans="1:42" ht="12.75">
      <c r="A84" s="30" t="s">
        <v>116</v>
      </c>
      <c r="B84" s="31">
        <f>B63</f>
        <v>0</v>
      </c>
      <c r="C84" s="31">
        <f aca="true" t="shared" si="15" ref="C84:H84">C63</f>
        <v>0</v>
      </c>
      <c r="D84" s="31">
        <f t="shared" si="15"/>
        <v>0</v>
      </c>
      <c r="E84" s="31">
        <f t="shared" si="15"/>
        <v>0</v>
      </c>
      <c r="F84" s="31">
        <f t="shared" si="15"/>
        <v>0</v>
      </c>
      <c r="G84" s="31">
        <f t="shared" si="15"/>
        <v>0</v>
      </c>
      <c r="H84" s="31">
        <f t="shared" si="15"/>
        <v>0</v>
      </c>
      <c r="I84" s="31">
        <f>H84</f>
        <v>0</v>
      </c>
      <c r="J84" s="230">
        <v>5000</v>
      </c>
      <c r="K84" s="32">
        <f>J84</f>
        <v>5000</v>
      </c>
      <c r="L84" s="32">
        <f aca="true" t="shared" si="16" ref="L84:AN84">K84</f>
        <v>5000</v>
      </c>
      <c r="M84" s="32">
        <f t="shared" si="16"/>
        <v>5000</v>
      </c>
      <c r="N84" s="32">
        <f t="shared" si="16"/>
        <v>5000</v>
      </c>
      <c r="O84" s="32">
        <f t="shared" si="16"/>
        <v>5000</v>
      </c>
      <c r="P84" s="32">
        <f t="shared" si="16"/>
        <v>5000</v>
      </c>
      <c r="Q84" s="32">
        <f t="shared" si="16"/>
        <v>5000</v>
      </c>
      <c r="R84" s="32">
        <f t="shared" si="16"/>
        <v>5000</v>
      </c>
      <c r="S84" s="32">
        <f t="shared" si="16"/>
        <v>5000</v>
      </c>
      <c r="T84" s="32">
        <f t="shared" si="16"/>
        <v>5000</v>
      </c>
      <c r="U84" s="32">
        <f t="shared" si="16"/>
        <v>5000</v>
      </c>
      <c r="V84" s="32">
        <f t="shared" si="16"/>
        <v>5000</v>
      </c>
      <c r="W84" s="32">
        <f t="shared" si="16"/>
        <v>5000</v>
      </c>
      <c r="X84" s="32">
        <f t="shared" si="16"/>
        <v>5000</v>
      </c>
      <c r="Y84" s="32">
        <f t="shared" si="16"/>
        <v>5000</v>
      </c>
      <c r="Z84" s="32">
        <f t="shared" si="16"/>
        <v>5000</v>
      </c>
      <c r="AA84" s="32">
        <f t="shared" si="16"/>
        <v>5000</v>
      </c>
      <c r="AB84" s="32">
        <f t="shared" si="16"/>
        <v>5000</v>
      </c>
      <c r="AC84" s="32">
        <f t="shared" si="16"/>
        <v>5000</v>
      </c>
      <c r="AD84" s="32">
        <f t="shared" si="16"/>
        <v>5000</v>
      </c>
      <c r="AE84" s="32">
        <f t="shared" si="16"/>
        <v>5000</v>
      </c>
      <c r="AF84" s="32">
        <f t="shared" si="16"/>
        <v>5000</v>
      </c>
      <c r="AG84" s="32">
        <f t="shared" si="16"/>
        <v>5000</v>
      </c>
      <c r="AH84" s="32">
        <f t="shared" si="16"/>
        <v>5000</v>
      </c>
      <c r="AI84" s="32">
        <f t="shared" si="16"/>
        <v>5000</v>
      </c>
      <c r="AJ84" s="32">
        <f t="shared" si="16"/>
        <v>5000</v>
      </c>
      <c r="AK84" s="32">
        <f t="shared" si="16"/>
        <v>5000</v>
      </c>
      <c r="AL84" s="32">
        <f t="shared" si="16"/>
        <v>5000</v>
      </c>
      <c r="AM84" s="32">
        <f t="shared" si="16"/>
        <v>5000</v>
      </c>
      <c r="AN84" s="32">
        <f t="shared" si="16"/>
        <v>5000</v>
      </c>
      <c r="AO84" s="32">
        <f>AN84</f>
        <v>5000</v>
      </c>
      <c r="AP84" s="34"/>
    </row>
    <row r="85" spans="1:42" ht="13.5" thickBot="1">
      <c r="A85" s="226" t="s">
        <v>16</v>
      </c>
      <c r="B85" s="227">
        <f>B84</f>
        <v>0</v>
      </c>
      <c r="C85" s="228">
        <f aca="true" t="shared" si="17" ref="C85:AP85">B85*(1+$B$17)+C84</f>
        <v>0</v>
      </c>
      <c r="D85" s="228">
        <f t="shared" si="17"/>
        <v>0</v>
      </c>
      <c r="E85" s="228">
        <f t="shared" si="17"/>
        <v>0</v>
      </c>
      <c r="F85" s="228">
        <f t="shared" si="17"/>
        <v>0</v>
      </c>
      <c r="G85" s="228">
        <f t="shared" si="17"/>
        <v>0</v>
      </c>
      <c r="H85" s="228">
        <f t="shared" si="17"/>
        <v>0</v>
      </c>
      <c r="I85" s="228">
        <f t="shared" si="17"/>
        <v>0</v>
      </c>
      <c r="J85" s="231">
        <f t="shared" si="17"/>
        <v>5000</v>
      </c>
      <c r="K85" s="228">
        <f t="shared" si="17"/>
        <v>10500</v>
      </c>
      <c r="L85" s="228">
        <f t="shared" si="17"/>
        <v>16550</v>
      </c>
      <c r="M85" s="228">
        <f t="shared" si="17"/>
        <v>23205</v>
      </c>
      <c r="N85" s="228">
        <f t="shared" si="17"/>
        <v>30525.500000000004</v>
      </c>
      <c r="O85" s="228">
        <f t="shared" si="17"/>
        <v>38578.05000000001</v>
      </c>
      <c r="P85" s="228">
        <f t="shared" si="17"/>
        <v>47435.85500000002</v>
      </c>
      <c r="Q85" s="228">
        <f t="shared" si="17"/>
        <v>57179.440500000026</v>
      </c>
      <c r="R85" s="228">
        <f t="shared" si="17"/>
        <v>67897.38455000003</v>
      </c>
      <c r="S85" s="228">
        <f t="shared" si="17"/>
        <v>79687.12300500004</v>
      </c>
      <c r="T85" s="228">
        <f t="shared" si="17"/>
        <v>92655.83530550006</v>
      </c>
      <c r="U85" s="228">
        <f t="shared" si="17"/>
        <v>106921.41883605007</v>
      </c>
      <c r="V85" s="228">
        <f t="shared" si="17"/>
        <v>122613.56071965508</v>
      </c>
      <c r="W85" s="228">
        <f t="shared" si="17"/>
        <v>139874.9167916206</v>
      </c>
      <c r="X85" s="228">
        <f t="shared" si="17"/>
        <v>158862.40847078268</v>
      </c>
      <c r="Y85" s="228">
        <f t="shared" si="17"/>
        <v>179748.64931786095</v>
      </c>
      <c r="Z85" s="228">
        <f t="shared" si="17"/>
        <v>202723.51424964707</v>
      </c>
      <c r="AA85" s="228">
        <f t="shared" si="17"/>
        <v>227995.8656746118</v>
      </c>
      <c r="AB85" s="228">
        <f t="shared" si="17"/>
        <v>255795.452242073</v>
      </c>
      <c r="AC85" s="228">
        <f t="shared" si="17"/>
        <v>286374.9974662803</v>
      </c>
      <c r="AD85" s="228">
        <f t="shared" si="17"/>
        <v>320012.49721290835</v>
      </c>
      <c r="AE85" s="228">
        <f t="shared" si="17"/>
        <v>357013.7469341992</v>
      </c>
      <c r="AF85" s="228">
        <f t="shared" si="17"/>
        <v>397715.12162761914</v>
      </c>
      <c r="AG85" s="228">
        <f t="shared" si="17"/>
        <v>442486.6337903811</v>
      </c>
      <c r="AH85" s="228">
        <f t="shared" si="17"/>
        <v>491735.29716941924</v>
      </c>
      <c r="AI85" s="228">
        <f t="shared" si="17"/>
        <v>545908.8268863612</v>
      </c>
      <c r="AJ85" s="228">
        <f t="shared" si="17"/>
        <v>605499.7095749974</v>
      </c>
      <c r="AK85" s="228">
        <f t="shared" si="17"/>
        <v>671049.6805324972</v>
      </c>
      <c r="AL85" s="228">
        <f t="shared" si="17"/>
        <v>743154.648585747</v>
      </c>
      <c r="AM85" s="228">
        <f t="shared" si="17"/>
        <v>822470.1134443218</v>
      </c>
      <c r="AN85" s="228">
        <f t="shared" si="17"/>
        <v>909717.124788754</v>
      </c>
      <c r="AO85" s="228">
        <f t="shared" si="17"/>
        <v>1005688.8372676296</v>
      </c>
      <c r="AP85" s="229">
        <f t="shared" si="17"/>
        <v>1106257.7209943926</v>
      </c>
    </row>
  </sheetData>
  <mergeCells count="3">
    <mergeCell ref="D6:E6"/>
    <mergeCell ref="D7:E7"/>
    <mergeCell ref="D8:E8"/>
  </mergeCells>
  <conditionalFormatting sqref="B24:I24">
    <cfRule type="cellIs" priority="1" dxfId="0" operator="greaterThan" stopIfTrue="1">
      <formula>0.999</formula>
    </cfRule>
    <cfRule type="cellIs" priority="2" dxfId="1" operator="greaterThan" stopIfTrue="1">
      <formula>0</formula>
    </cfRule>
    <cfRule type="cellIs" priority="3" dxfId="2" operator="equal" stopIfTrue="1">
      <formula>0</formula>
    </cfRule>
  </conditionalFormatting>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G71"/>
  <sheetViews>
    <sheetView workbookViewId="0" topLeftCell="A1">
      <pane ySplit="7" topLeftCell="BM8" activePane="bottomLeft" state="frozen"/>
      <selection pane="topLeft" activeCell="A1" sqref="A1"/>
      <selection pane="bottomLeft" activeCell="D5" sqref="D5"/>
    </sheetView>
  </sheetViews>
  <sheetFormatPr defaultColWidth="9.140625" defaultRowHeight="12.75"/>
  <cols>
    <col min="2" max="5" width="12.8515625" style="0" bestFit="1" customWidth="1"/>
    <col min="6" max="6" width="11.8515625" style="0" customWidth="1"/>
    <col min="7" max="7" width="13.8515625" style="0" bestFit="1" customWidth="1"/>
  </cols>
  <sheetData>
    <row r="1" ht="12.75">
      <c r="A1" t="s">
        <v>27</v>
      </c>
    </row>
    <row r="2" spans="2:3" ht="12.75">
      <c r="B2" s="49">
        <v>0.01</v>
      </c>
      <c r="C2" t="s">
        <v>18</v>
      </c>
    </row>
    <row r="3" spans="2:3" ht="12.75">
      <c r="B3" s="50">
        <f>B2/12</f>
        <v>0.0008333333333333334</v>
      </c>
      <c r="C3" t="s">
        <v>19</v>
      </c>
    </row>
    <row r="4" spans="2:3" ht="12.75">
      <c r="B4" s="51">
        <f>PMT(B3,B67,-C8,0)</f>
        <v>520.4300000085409</v>
      </c>
      <c r="C4" t="s">
        <v>20</v>
      </c>
    </row>
    <row r="5" spans="2:3" ht="12.75">
      <c r="B5" s="18">
        <f>'Cow Loan Analysis'!C30</f>
        <v>30445.63526337303</v>
      </c>
      <c r="C5" t="s">
        <v>17</v>
      </c>
    </row>
    <row r="7" spans="2:7" ht="12.75">
      <c r="B7" t="s">
        <v>21</v>
      </c>
      <c r="C7" t="s">
        <v>22</v>
      </c>
      <c r="D7" t="s">
        <v>23</v>
      </c>
      <c r="E7" t="s">
        <v>24</v>
      </c>
      <c r="F7" t="s">
        <v>25</v>
      </c>
      <c r="G7" t="s">
        <v>26</v>
      </c>
    </row>
    <row r="8" spans="2:7" ht="12" customHeight="1">
      <c r="B8">
        <v>1</v>
      </c>
      <c r="C8" s="18">
        <f>B5</f>
        <v>30445.63526337303</v>
      </c>
      <c r="D8" s="18">
        <f>C8*$B$3</f>
        <v>25.371362719477528</v>
      </c>
      <c r="E8" s="18">
        <f>$B$4-D8</f>
        <v>495.05863728906337</v>
      </c>
      <c r="F8" s="18">
        <f>E8+D8</f>
        <v>520.4300000085409</v>
      </c>
      <c r="G8" s="18">
        <f>C8-E8</f>
        <v>29950.576626083966</v>
      </c>
    </row>
    <row r="9" spans="2:7" ht="12.75">
      <c r="B9">
        <v>2</v>
      </c>
      <c r="C9" s="18">
        <f>G8</f>
        <v>29950.576626083966</v>
      </c>
      <c r="D9" s="18">
        <f>C9*$B$3</f>
        <v>24.958813855069973</v>
      </c>
      <c r="E9" s="18">
        <f>$B$4-D9</f>
        <v>495.4711861534709</v>
      </c>
      <c r="F9" s="18">
        <f aca="true" t="shared" si="0" ref="F9:F67">E9+D9</f>
        <v>520.4300000085409</v>
      </c>
      <c r="G9" s="18">
        <f>C9-E9</f>
        <v>29455.105439930496</v>
      </c>
    </row>
    <row r="10" spans="2:7" ht="12.75">
      <c r="B10">
        <v>3</v>
      </c>
      <c r="C10" s="18">
        <f aca="true" t="shared" si="1" ref="C10:C67">G9</f>
        <v>29455.105439930496</v>
      </c>
      <c r="D10" s="18">
        <f aca="true" t="shared" si="2" ref="D10:D67">C10*$B$3</f>
        <v>24.545921199942082</v>
      </c>
      <c r="E10" s="18">
        <f aca="true" t="shared" si="3" ref="E10:E67">$B$4-D10</f>
        <v>495.8840788085988</v>
      </c>
      <c r="F10" s="18">
        <f t="shared" si="0"/>
        <v>520.4300000085409</v>
      </c>
      <c r="G10" s="18">
        <f aca="true" t="shared" si="4" ref="G10:G67">C10-E10</f>
        <v>28959.221361121898</v>
      </c>
    </row>
    <row r="11" spans="2:7" ht="12.75">
      <c r="B11">
        <v>4</v>
      </c>
      <c r="C11" s="18">
        <f t="shared" si="1"/>
        <v>28959.221361121898</v>
      </c>
      <c r="D11" s="18">
        <f t="shared" si="2"/>
        <v>24.13268446760158</v>
      </c>
      <c r="E11" s="18">
        <f t="shared" si="3"/>
        <v>496.29731554093934</v>
      </c>
      <c r="F11" s="18">
        <f t="shared" si="0"/>
        <v>520.4300000085409</v>
      </c>
      <c r="G11" s="18">
        <f t="shared" si="4"/>
        <v>28462.92404558096</v>
      </c>
    </row>
    <row r="12" spans="2:7" ht="12.75">
      <c r="B12">
        <v>5</v>
      </c>
      <c r="C12" s="18">
        <f t="shared" si="1"/>
        <v>28462.92404558096</v>
      </c>
      <c r="D12" s="18">
        <f t="shared" si="2"/>
        <v>23.719103371317466</v>
      </c>
      <c r="E12" s="18">
        <f t="shared" si="3"/>
        <v>496.7108966372234</v>
      </c>
      <c r="F12" s="18">
        <f t="shared" si="0"/>
        <v>520.4300000085409</v>
      </c>
      <c r="G12" s="18">
        <f t="shared" si="4"/>
        <v>27966.213148943738</v>
      </c>
    </row>
    <row r="13" spans="2:7" ht="12.75">
      <c r="B13">
        <v>6</v>
      </c>
      <c r="C13" s="18">
        <f t="shared" si="1"/>
        <v>27966.213148943738</v>
      </c>
      <c r="D13" s="18">
        <f t="shared" si="2"/>
        <v>23.305177624119782</v>
      </c>
      <c r="E13" s="18">
        <f t="shared" si="3"/>
        <v>497.1248223844211</v>
      </c>
      <c r="F13" s="18">
        <f t="shared" si="0"/>
        <v>520.4300000085409</v>
      </c>
      <c r="G13" s="18">
        <f t="shared" si="4"/>
        <v>27469.08832655932</v>
      </c>
    </row>
    <row r="14" spans="2:7" ht="12.75">
      <c r="B14">
        <v>7</v>
      </c>
      <c r="C14" s="18">
        <f t="shared" si="1"/>
        <v>27469.08832655932</v>
      </c>
      <c r="D14" s="18">
        <f t="shared" si="2"/>
        <v>22.890906938799432</v>
      </c>
      <c r="E14" s="18">
        <f t="shared" si="3"/>
        <v>497.53909306974145</v>
      </c>
      <c r="F14" s="18">
        <f t="shared" si="0"/>
        <v>520.4300000085409</v>
      </c>
      <c r="G14" s="18">
        <f t="shared" si="4"/>
        <v>26971.549233489575</v>
      </c>
    </row>
    <row r="15" spans="2:7" ht="12.75">
      <c r="B15">
        <v>8</v>
      </c>
      <c r="C15" s="18">
        <f t="shared" si="1"/>
        <v>26971.549233489575</v>
      </c>
      <c r="D15" s="18">
        <f t="shared" si="2"/>
        <v>22.47629102790798</v>
      </c>
      <c r="E15" s="18">
        <f t="shared" si="3"/>
        <v>497.95370898063294</v>
      </c>
      <c r="F15" s="18">
        <f t="shared" si="0"/>
        <v>520.4300000085409</v>
      </c>
      <c r="G15" s="18">
        <f t="shared" si="4"/>
        <v>26473.595524508943</v>
      </c>
    </row>
    <row r="16" spans="2:7" ht="12.75">
      <c r="B16">
        <v>9</v>
      </c>
      <c r="C16" s="18">
        <f t="shared" si="1"/>
        <v>26473.595524508943</v>
      </c>
      <c r="D16" s="18">
        <f t="shared" si="2"/>
        <v>22.061329603757454</v>
      </c>
      <c r="E16" s="18">
        <f t="shared" si="3"/>
        <v>498.3686704047835</v>
      </c>
      <c r="F16" s="18">
        <f t="shared" si="0"/>
        <v>520.4300000085409</v>
      </c>
      <c r="G16" s="18">
        <f t="shared" si="4"/>
        <v>25975.22685410416</v>
      </c>
    </row>
    <row r="17" spans="2:7" ht="12.75">
      <c r="B17">
        <v>10</v>
      </c>
      <c r="C17" s="18">
        <f t="shared" si="1"/>
        <v>25975.22685410416</v>
      </c>
      <c r="D17" s="18">
        <f t="shared" si="2"/>
        <v>21.646022378420135</v>
      </c>
      <c r="E17" s="18">
        <f t="shared" si="3"/>
        <v>498.7839776301208</v>
      </c>
      <c r="F17" s="18">
        <f t="shared" si="0"/>
        <v>520.4300000085409</v>
      </c>
      <c r="G17" s="18">
        <f t="shared" si="4"/>
        <v>25476.442876474037</v>
      </c>
    </row>
    <row r="18" spans="2:7" ht="12.75">
      <c r="B18">
        <v>11</v>
      </c>
      <c r="C18" s="18">
        <f t="shared" si="1"/>
        <v>25476.442876474037</v>
      </c>
      <c r="D18" s="18">
        <f t="shared" si="2"/>
        <v>21.230369063728364</v>
      </c>
      <c r="E18" s="18">
        <f t="shared" si="3"/>
        <v>499.19963094481255</v>
      </c>
      <c r="F18" s="18">
        <f t="shared" si="0"/>
        <v>520.4300000085409</v>
      </c>
      <c r="G18" s="18">
        <f t="shared" si="4"/>
        <v>24977.243245529226</v>
      </c>
    </row>
    <row r="19" spans="2:7" ht="12.75">
      <c r="B19">
        <v>12</v>
      </c>
      <c r="C19" s="18">
        <f t="shared" si="1"/>
        <v>24977.243245529226</v>
      </c>
      <c r="D19" s="18">
        <f t="shared" si="2"/>
        <v>20.814369371274356</v>
      </c>
      <c r="E19" s="18">
        <f t="shared" si="3"/>
        <v>499.6156306372665</v>
      </c>
      <c r="F19" s="18">
        <f t="shared" si="0"/>
        <v>520.4300000085409</v>
      </c>
      <c r="G19" s="18">
        <f t="shared" si="4"/>
        <v>24477.62761489196</v>
      </c>
    </row>
    <row r="20" spans="2:7" ht="12.75">
      <c r="B20">
        <v>13</v>
      </c>
      <c r="C20" s="18">
        <f t="shared" si="1"/>
        <v>24477.62761489196</v>
      </c>
      <c r="D20" s="18">
        <f t="shared" si="2"/>
        <v>20.39802301240997</v>
      </c>
      <c r="E20" s="18">
        <f t="shared" si="3"/>
        <v>500.03197699613094</v>
      </c>
      <c r="F20" s="18">
        <f t="shared" si="0"/>
        <v>520.4300000085409</v>
      </c>
      <c r="G20" s="18">
        <f t="shared" si="4"/>
        <v>23977.59563789583</v>
      </c>
    </row>
    <row r="21" spans="2:7" ht="12.75">
      <c r="B21">
        <v>14</v>
      </c>
      <c r="C21" s="18">
        <f t="shared" si="1"/>
        <v>23977.59563789583</v>
      </c>
      <c r="D21" s="18">
        <f t="shared" si="2"/>
        <v>19.981329698246526</v>
      </c>
      <c r="E21" s="18">
        <f t="shared" si="3"/>
        <v>500.44867031029435</v>
      </c>
      <c r="F21" s="18">
        <f t="shared" si="0"/>
        <v>520.4300000085409</v>
      </c>
      <c r="G21" s="18">
        <f t="shared" si="4"/>
        <v>23477.146967585533</v>
      </c>
    </row>
    <row r="22" spans="2:7" ht="12.75">
      <c r="B22">
        <v>15</v>
      </c>
      <c r="C22" s="18">
        <f t="shared" si="1"/>
        <v>23477.146967585533</v>
      </c>
      <c r="D22" s="18">
        <f t="shared" si="2"/>
        <v>19.564289139654612</v>
      </c>
      <c r="E22" s="18">
        <f t="shared" si="3"/>
        <v>500.8657108688863</v>
      </c>
      <c r="F22" s="18">
        <f t="shared" si="0"/>
        <v>520.4300000085409</v>
      </c>
      <c r="G22" s="18">
        <f t="shared" si="4"/>
        <v>22976.281256716647</v>
      </c>
    </row>
    <row r="23" spans="2:7" ht="12.75">
      <c r="B23">
        <v>16</v>
      </c>
      <c r="C23" s="18">
        <f t="shared" si="1"/>
        <v>22976.281256716647</v>
      </c>
      <c r="D23" s="18">
        <f t="shared" si="2"/>
        <v>19.146901047263874</v>
      </c>
      <c r="E23" s="18">
        <f t="shared" si="3"/>
        <v>501.283098961277</v>
      </c>
      <c r="F23" s="18">
        <f t="shared" si="0"/>
        <v>520.4300000085409</v>
      </c>
      <c r="G23" s="18">
        <f t="shared" si="4"/>
        <v>22474.99815775537</v>
      </c>
    </row>
    <row r="24" spans="2:7" ht="12.75">
      <c r="B24">
        <v>17</v>
      </c>
      <c r="C24" s="18">
        <f t="shared" si="1"/>
        <v>22474.99815775537</v>
      </c>
      <c r="D24" s="18">
        <f t="shared" si="2"/>
        <v>18.72916513146281</v>
      </c>
      <c r="E24" s="18">
        <f t="shared" si="3"/>
        <v>501.7008348770781</v>
      </c>
      <c r="F24" s="18">
        <f t="shared" si="0"/>
        <v>520.4300000085409</v>
      </c>
      <c r="G24" s="18">
        <f t="shared" si="4"/>
        <v>21973.29732287829</v>
      </c>
    </row>
    <row r="25" spans="2:7" ht="12.75">
      <c r="B25">
        <v>18</v>
      </c>
      <c r="C25" s="18">
        <f t="shared" si="1"/>
        <v>21973.29732287829</v>
      </c>
      <c r="D25" s="18">
        <f t="shared" si="2"/>
        <v>18.311081102398575</v>
      </c>
      <c r="E25" s="18">
        <f t="shared" si="3"/>
        <v>502.1189189061423</v>
      </c>
      <c r="F25" s="18">
        <f t="shared" si="0"/>
        <v>520.4300000085409</v>
      </c>
      <c r="G25" s="18">
        <f t="shared" si="4"/>
        <v>21471.17840397215</v>
      </c>
    </row>
    <row r="26" spans="2:7" ht="12.75">
      <c r="B26">
        <v>19</v>
      </c>
      <c r="C26" s="18">
        <f t="shared" si="1"/>
        <v>21471.17840397215</v>
      </c>
      <c r="D26" s="18">
        <f t="shared" si="2"/>
        <v>17.892648669976793</v>
      </c>
      <c r="E26" s="18">
        <f t="shared" si="3"/>
        <v>502.5373513385641</v>
      </c>
      <c r="F26" s="18">
        <f t="shared" si="0"/>
        <v>520.4300000085409</v>
      </c>
      <c r="G26" s="18">
        <f t="shared" si="4"/>
        <v>20968.641052633586</v>
      </c>
    </row>
    <row r="27" spans="2:7" ht="12.75">
      <c r="B27">
        <v>20</v>
      </c>
      <c r="C27" s="18">
        <f t="shared" si="1"/>
        <v>20968.641052633586</v>
      </c>
      <c r="D27" s="18">
        <f t="shared" si="2"/>
        <v>17.473867543861324</v>
      </c>
      <c r="E27" s="18">
        <f t="shared" si="3"/>
        <v>502.95613246467957</v>
      </c>
      <c r="F27" s="18">
        <f t="shared" si="0"/>
        <v>520.4300000085409</v>
      </c>
      <c r="G27" s="18">
        <f t="shared" si="4"/>
        <v>20465.684920168907</v>
      </c>
    </row>
    <row r="28" spans="2:7" ht="12.75">
      <c r="B28">
        <v>21</v>
      </c>
      <c r="C28" s="18">
        <f t="shared" si="1"/>
        <v>20465.684920168907</v>
      </c>
      <c r="D28" s="18">
        <f t="shared" si="2"/>
        <v>17.05473743347409</v>
      </c>
      <c r="E28" s="18">
        <f t="shared" si="3"/>
        <v>503.3752625750668</v>
      </c>
      <c r="F28" s="18">
        <f t="shared" si="0"/>
        <v>520.4300000085409</v>
      </c>
      <c r="G28" s="18">
        <f t="shared" si="4"/>
        <v>19962.30965759384</v>
      </c>
    </row>
    <row r="29" spans="2:7" ht="12.75">
      <c r="B29">
        <v>22</v>
      </c>
      <c r="C29" s="18">
        <f t="shared" si="1"/>
        <v>19962.30965759384</v>
      </c>
      <c r="D29" s="18">
        <f t="shared" si="2"/>
        <v>16.635258047994867</v>
      </c>
      <c r="E29" s="18">
        <f t="shared" si="3"/>
        <v>503.79474196054605</v>
      </c>
      <c r="F29" s="18">
        <f t="shared" si="0"/>
        <v>520.4300000085409</v>
      </c>
      <c r="G29" s="18">
        <f t="shared" si="4"/>
        <v>19458.514915633295</v>
      </c>
    </row>
    <row r="30" spans="2:7" ht="12.75">
      <c r="B30">
        <v>23</v>
      </c>
      <c r="C30" s="18">
        <f t="shared" si="1"/>
        <v>19458.514915633295</v>
      </c>
      <c r="D30" s="18">
        <f t="shared" si="2"/>
        <v>16.21542909636108</v>
      </c>
      <c r="E30" s="18">
        <f t="shared" si="3"/>
        <v>504.2145709121798</v>
      </c>
      <c r="F30" s="18">
        <f t="shared" si="0"/>
        <v>520.4300000085409</v>
      </c>
      <c r="G30" s="18">
        <f t="shared" si="4"/>
        <v>18954.300344721116</v>
      </c>
    </row>
    <row r="31" spans="2:7" ht="12.75">
      <c r="B31">
        <v>24</v>
      </c>
      <c r="C31" s="18">
        <f t="shared" si="1"/>
        <v>18954.300344721116</v>
      </c>
      <c r="D31" s="18">
        <f t="shared" si="2"/>
        <v>15.795250287267597</v>
      </c>
      <c r="E31" s="18">
        <f t="shared" si="3"/>
        <v>504.6347497212733</v>
      </c>
      <c r="F31" s="18">
        <f t="shared" si="0"/>
        <v>520.4300000085409</v>
      </c>
      <c r="G31" s="18">
        <f t="shared" si="4"/>
        <v>18449.665594999842</v>
      </c>
    </row>
    <row r="32" spans="2:7" ht="12.75">
      <c r="B32">
        <v>25</v>
      </c>
      <c r="C32" s="18">
        <f t="shared" si="1"/>
        <v>18449.665594999842</v>
      </c>
      <c r="D32" s="18">
        <f t="shared" si="2"/>
        <v>15.374721329166537</v>
      </c>
      <c r="E32" s="18">
        <f t="shared" si="3"/>
        <v>505.05527867937434</v>
      </c>
      <c r="F32" s="18">
        <f t="shared" si="0"/>
        <v>520.4300000085409</v>
      </c>
      <c r="G32" s="18">
        <f t="shared" si="4"/>
        <v>17944.610316320468</v>
      </c>
    </row>
    <row r="33" spans="2:7" ht="12.75">
      <c r="B33">
        <v>26</v>
      </c>
      <c r="C33" s="18">
        <f t="shared" si="1"/>
        <v>17944.610316320468</v>
      </c>
      <c r="D33" s="18">
        <f t="shared" si="2"/>
        <v>14.953841930267057</v>
      </c>
      <c r="E33" s="18">
        <f t="shared" si="3"/>
        <v>505.47615807827384</v>
      </c>
      <c r="F33" s="18">
        <f t="shared" si="0"/>
        <v>520.4300000085409</v>
      </c>
      <c r="G33" s="18">
        <f t="shared" si="4"/>
        <v>17439.134158242196</v>
      </c>
    </row>
    <row r="34" spans="2:7" ht="12.75">
      <c r="B34">
        <v>27</v>
      </c>
      <c r="C34" s="18">
        <f t="shared" si="1"/>
        <v>17439.134158242196</v>
      </c>
      <c r="D34" s="18">
        <f t="shared" si="2"/>
        <v>14.532611798535164</v>
      </c>
      <c r="E34" s="18">
        <f t="shared" si="3"/>
        <v>505.8973882100057</v>
      </c>
      <c r="F34" s="18">
        <f t="shared" si="0"/>
        <v>520.4300000085409</v>
      </c>
      <c r="G34" s="18">
        <f t="shared" si="4"/>
        <v>16933.23677003219</v>
      </c>
    </row>
    <row r="35" spans="2:7" ht="12.75">
      <c r="B35">
        <v>28</v>
      </c>
      <c r="C35" s="18">
        <f t="shared" si="1"/>
        <v>16933.23677003219</v>
      </c>
      <c r="D35" s="18">
        <f t="shared" si="2"/>
        <v>14.11103064169349</v>
      </c>
      <c r="E35" s="18">
        <f t="shared" si="3"/>
        <v>506.3189693668474</v>
      </c>
      <c r="F35" s="18">
        <f t="shared" si="0"/>
        <v>520.4300000085409</v>
      </c>
      <c r="G35" s="18">
        <f t="shared" si="4"/>
        <v>16426.917800665342</v>
      </c>
    </row>
    <row r="36" spans="2:7" ht="12.75">
      <c r="B36">
        <v>29</v>
      </c>
      <c r="C36" s="18">
        <f t="shared" si="1"/>
        <v>16426.917800665342</v>
      </c>
      <c r="D36" s="18">
        <f t="shared" si="2"/>
        <v>13.689098167221118</v>
      </c>
      <c r="E36" s="18">
        <f t="shared" si="3"/>
        <v>506.7409018413198</v>
      </c>
      <c r="F36" s="18">
        <f t="shared" si="0"/>
        <v>520.4300000085409</v>
      </c>
      <c r="G36" s="18">
        <f t="shared" si="4"/>
        <v>15920.176898824022</v>
      </c>
    </row>
    <row r="37" spans="2:7" ht="12.75">
      <c r="B37">
        <v>30</v>
      </c>
      <c r="C37" s="18">
        <f t="shared" si="1"/>
        <v>15920.176898824022</v>
      </c>
      <c r="D37" s="18">
        <f t="shared" si="2"/>
        <v>13.266814082353353</v>
      </c>
      <c r="E37" s="18">
        <f t="shared" si="3"/>
        <v>507.16318592618757</v>
      </c>
      <c r="F37" s="18">
        <f t="shared" si="0"/>
        <v>520.4300000085409</v>
      </c>
      <c r="G37" s="18">
        <f t="shared" si="4"/>
        <v>15413.013712897835</v>
      </c>
    </row>
    <row r="38" spans="2:7" ht="12.75">
      <c r="B38">
        <v>31</v>
      </c>
      <c r="C38" s="18">
        <f t="shared" si="1"/>
        <v>15413.013712897835</v>
      </c>
      <c r="D38" s="18">
        <f t="shared" si="2"/>
        <v>12.84417809408153</v>
      </c>
      <c r="E38" s="18">
        <f t="shared" si="3"/>
        <v>507.58582191445936</v>
      </c>
      <c r="F38" s="18">
        <f t="shared" si="0"/>
        <v>520.4300000085409</v>
      </c>
      <c r="G38" s="18">
        <f t="shared" si="4"/>
        <v>14905.427890983376</v>
      </c>
    </row>
    <row r="39" spans="2:7" ht="12.75">
      <c r="B39">
        <v>32</v>
      </c>
      <c r="C39" s="18">
        <f t="shared" si="1"/>
        <v>14905.427890983376</v>
      </c>
      <c r="D39" s="18">
        <f t="shared" si="2"/>
        <v>12.421189909152814</v>
      </c>
      <c r="E39" s="18">
        <f t="shared" si="3"/>
        <v>508.0088100993881</v>
      </c>
      <c r="F39" s="18">
        <f t="shared" si="0"/>
        <v>520.4300000085409</v>
      </c>
      <c r="G39" s="18">
        <f t="shared" si="4"/>
        <v>14397.419080883987</v>
      </c>
    </row>
    <row r="40" spans="2:7" ht="12.75">
      <c r="B40">
        <v>33</v>
      </c>
      <c r="C40" s="18">
        <f t="shared" si="1"/>
        <v>14397.419080883987</v>
      </c>
      <c r="D40" s="18">
        <f t="shared" si="2"/>
        <v>11.99784923406999</v>
      </c>
      <c r="E40" s="18">
        <f t="shared" si="3"/>
        <v>508.4321507744709</v>
      </c>
      <c r="F40" s="18">
        <f t="shared" si="0"/>
        <v>520.4300000085409</v>
      </c>
      <c r="G40" s="18">
        <f t="shared" si="4"/>
        <v>13888.986930109515</v>
      </c>
    </row>
    <row r="41" spans="2:7" ht="12.75">
      <c r="B41">
        <v>34</v>
      </c>
      <c r="C41" s="18">
        <f t="shared" si="1"/>
        <v>13888.986930109515</v>
      </c>
      <c r="D41" s="18">
        <f t="shared" si="2"/>
        <v>11.574155775091263</v>
      </c>
      <c r="E41" s="18">
        <f t="shared" si="3"/>
        <v>508.85584423344966</v>
      </c>
      <c r="F41" s="18">
        <f t="shared" si="0"/>
        <v>520.4300000085409</v>
      </c>
      <c r="G41" s="18">
        <f t="shared" si="4"/>
        <v>13380.131085876066</v>
      </c>
    </row>
    <row r="42" spans="2:7" ht="12.75">
      <c r="B42">
        <v>35</v>
      </c>
      <c r="C42" s="18">
        <f t="shared" si="1"/>
        <v>13380.131085876066</v>
      </c>
      <c r="D42" s="18">
        <f t="shared" si="2"/>
        <v>11.150109238230057</v>
      </c>
      <c r="E42" s="18">
        <f t="shared" si="3"/>
        <v>509.27989077031083</v>
      </c>
      <c r="F42" s="18">
        <f t="shared" si="0"/>
        <v>520.4300000085409</v>
      </c>
      <c r="G42" s="18">
        <f t="shared" si="4"/>
        <v>12870.851195105755</v>
      </c>
    </row>
    <row r="43" spans="2:7" ht="12.75">
      <c r="B43">
        <v>36</v>
      </c>
      <c r="C43" s="18">
        <f t="shared" si="1"/>
        <v>12870.851195105755</v>
      </c>
      <c r="D43" s="18">
        <f t="shared" si="2"/>
        <v>10.725709329254796</v>
      </c>
      <c r="E43" s="18">
        <f t="shared" si="3"/>
        <v>509.7042906792861</v>
      </c>
      <c r="F43" s="18">
        <f t="shared" si="0"/>
        <v>520.4300000085409</v>
      </c>
      <c r="G43" s="18">
        <f t="shared" si="4"/>
        <v>12361.146904426469</v>
      </c>
    </row>
    <row r="44" spans="2:7" ht="12.75">
      <c r="B44">
        <v>37</v>
      </c>
      <c r="C44" s="18">
        <f t="shared" si="1"/>
        <v>12361.146904426469</v>
      </c>
      <c r="D44" s="18">
        <f t="shared" si="2"/>
        <v>10.300955753688724</v>
      </c>
      <c r="E44" s="18">
        <f t="shared" si="3"/>
        <v>510.1290442548522</v>
      </c>
      <c r="F44" s="18">
        <f t="shared" si="0"/>
        <v>520.4300000085409</v>
      </c>
      <c r="G44" s="18">
        <f t="shared" si="4"/>
        <v>11851.017860171616</v>
      </c>
    </row>
    <row r="45" spans="2:7" ht="12.75">
      <c r="B45">
        <v>38</v>
      </c>
      <c r="C45" s="18">
        <f t="shared" si="1"/>
        <v>11851.017860171616</v>
      </c>
      <c r="D45" s="18">
        <f t="shared" si="2"/>
        <v>9.87584821680968</v>
      </c>
      <c r="E45" s="18">
        <f t="shared" si="3"/>
        <v>510.5541517917312</v>
      </c>
      <c r="F45" s="18">
        <f t="shared" si="0"/>
        <v>520.4300000085409</v>
      </c>
      <c r="G45" s="18">
        <f t="shared" si="4"/>
        <v>11340.463708379884</v>
      </c>
    </row>
    <row r="46" spans="2:7" ht="12.75">
      <c r="B46">
        <v>39</v>
      </c>
      <c r="C46" s="18">
        <f t="shared" si="1"/>
        <v>11340.463708379884</v>
      </c>
      <c r="D46" s="18">
        <f t="shared" si="2"/>
        <v>9.450386423649904</v>
      </c>
      <c r="E46" s="18">
        <f t="shared" si="3"/>
        <v>510.979613584891</v>
      </c>
      <c r="F46" s="18">
        <f t="shared" si="0"/>
        <v>520.4300000085409</v>
      </c>
      <c r="G46" s="18">
        <f t="shared" si="4"/>
        <v>10829.484094794992</v>
      </c>
    </row>
    <row r="47" spans="2:7" ht="12.75">
      <c r="B47">
        <v>40</v>
      </c>
      <c r="C47" s="18">
        <f t="shared" si="1"/>
        <v>10829.484094794992</v>
      </c>
      <c r="D47" s="18">
        <f t="shared" si="2"/>
        <v>9.024570078995827</v>
      </c>
      <c r="E47" s="18">
        <f t="shared" si="3"/>
        <v>511.40542992954505</v>
      </c>
      <c r="F47" s="18">
        <f t="shared" si="0"/>
        <v>520.4300000085409</v>
      </c>
      <c r="G47" s="18">
        <f t="shared" si="4"/>
        <v>10318.078664865447</v>
      </c>
    </row>
    <row r="48" spans="2:7" ht="12.75">
      <c r="B48">
        <v>41</v>
      </c>
      <c r="C48" s="18">
        <f t="shared" si="1"/>
        <v>10318.078664865447</v>
      </c>
      <c r="D48" s="18">
        <f t="shared" si="2"/>
        <v>8.598398887387873</v>
      </c>
      <c r="E48" s="18">
        <f t="shared" si="3"/>
        <v>511.831601121153</v>
      </c>
      <c r="F48" s="18">
        <f t="shared" si="0"/>
        <v>520.4300000085409</v>
      </c>
      <c r="G48" s="18">
        <f t="shared" si="4"/>
        <v>9806.247063744293</v>
      </c>
    </row>
    <row r="49" spans="2:7" ht="12.75">
      <c r="B49">
        <v>42</v>
      </c>
      <c r="C49" s="18">
        <f t="shared" si="1"/>
        <v>9806.247063744293</v>
      </c>
      <c r="D49" s="18">
        <f t="shared" si="2"/>
        <v>8.171872553120245</v>
      </c>
      <c r="E49" s="18">
        <f t="shared" si="3"/>
        <v>512.2581274554207</v>
      </c>
      <c r="F49" s="18">
        <f t="shared" si="0"/>
        <v>520.4300000085409</v>
      </c>
      <c r="G49" s="18">
        <f t="shared" si="4"/>
        <v>9293.988936288872</v>
      </c>
    </row>
    <row r="50" spans="2:7" ht="12.75">
      <c r="B50">
        <v>43</v>
      </c>
      <c r="C50" s="18">
        <f t="shared" si="1"/>
        <v>9293.988936288872</v>
      </c>
      <c r="D50" s="18">
        <f t="shared" si="2"/>
        <v>7.744990780240727</v>
      </c>
      <c r="E50" s="18">
        <f t="shared" si="3"/>
        <v>512.6850092283001</v>
      </c>
      <c r="F50" s="18">
        <f t="shared" si="0"/>
        <v>520.4300000085409</v>
      </c>
      <c r="G50" s="18">
        <f t="shared" si="4"/>
        <v>8781.303927060571</v>
      </c>
    </row>
    <row r="51" spans="2:7" ht="12.75">
      <c r="B51">
        <v>44</v>
      </c>
      <c r="C51" s="18">
        <f t="shared" si="1"/>
        <v>8781.303927060571</v>
      </c>
      <c r="D51" s="18">
        <f t="shared" si="2"/>
        <v>7.317753272550477</v>
      </c>
      <c r="E51" s="18">
        <f t="shared" si="3"/>
        <v>513.1122467359904</v>
      </c>
      <c r="F51" s="18">
        <f t="shared" si="0"/>
        <v>520.4300000085409</v>
      </c>
      <c r="G51" s="18">
        <f t="shared" si="4"/>
        <v>8268.19168032458</v>
      </c>
    </row>
    <row r="52" spans="2:7" ht="12.75">
      <c r="B52">
        <v>45</v>
      </c>
      <c r="C52" s="18">
        <f t="shared" si="1"/>
        <v>8268.19168032458</v>
      </c>
      <c r="D52" s="18">
        <f t="shared" si="2"/>
        <v>6.890159733603817</v>
      </c>
      <c r="E52" s="18">
        <f t="shared" si="3"/>
        <v>513.5398402749371</v>
      </c>
      <c r="F52" s="18">
        <f t="shared" si="0"/>
        <v>520.4300000085409</v>
      </c>
      <c r="G52" s="18">
        <f t="shared" si="4"/>
        <v>7754.651840049643</v>
      </c>
    </row>
    <row r="53" spans="2:7" ht="12.75">
      <c r="B53">
        <v>46</v>
      </c>
      <c r="C53" s="18">
        <f t="shared" si="1"/>
        <v>7754.651840049643</v>
      </c>
      <c r="D53" s="18">
        <f t="shared" si="2"/>
        <v>6.4622098667080365</v>
      </c>
      <c r="E53" s="18">
        <f t="shared" si="3"/>
        <v>513.9677901418329</v>
      </c>
      <c r="F53" s="18">
        <f t="shared" si="0"/>
        <v>520.4300000085409</v>
      </c>
      <c r="G53" s="18">
        <f t="shared" si="4"/>
        <v>7240.684049907811</v>
      </c>
    </row>
    <row r="54" spans="2:7" ht="12.75">
      <c r="B54">
        <v>47</v>
      </c>
      <c r="C54" s="18">
        <f t="shared" si="1"/>
        <v>7240.684049907811</v>
      </c>
      <c r="D54" s="18">
        <f t="shared" si="2"/>
        <v>6.033903374923176</v>
      </c>
      <c r="E54" s="18">
        <f t="shared" si="3"/>
        <v>514.3960966336177</v>
      </c>
      <c r="F54" s="18">
        <f t="shared" si="0"/>
        <v>520.4300000085409</v>
      </c>
      <c r="G54" s="18">
        <f t="shared" si="4"/>
        <v>6726.287953274193</v>
      </c>
    </row>
    <row r="55" spans="2:7" ht="12.75">
      <c r="B55">
        <v>48</v>
      </c>
      <c r="C55" s="18">
        <f t="shared" si="1"/>
        <v>6726.287953274193</v>
      </c>
      <c r="D55" s="18">
        <f t="shared" si="2"/>
        <v>5.6052399610618275</v>
      </c>
      <c r="E55" s="18">
        <f t="shared" si="3"/>
        <v>514.8247600474791</v>
      </c>
      <c r="F55" s="18">
        <f t="shared" si="0"/>
        <v>520.4300000085409</v>
      </c>
      <c r="G55" s="18">
        <f t="shared" si="4"/>
        <v>6211.463193226714</v>
      </c>
    </row>
    <row r="56" spans="2:7" ht="12.75">
      <c r="B56">
        <v>49</v>
      </c>
      <c r="C56" s="18">
        <f t="shared" si="1"/>
        <v>6211.463193226714</v>
      </c>
      <c r="D56" s="18">
        <f t="shared" si="2"/>
        <v>5.176219327688929</v>
      </c>
      <c r="E56" s="18">
        <f t="shared" si="3"/>
        <v>515.253780680852</v>
      </c>
      <c r="F56" s="18">
        <f t="shared" si="0"/>
        <v>520.4300000085409</v>
      </c>
      <c r="G56" s="18">
        <f t="shared" si="4"/>
        <v>5696.209412545862</v>
      </c>
    </row>
    <row r="57" spans="2:7" ht="12.75">
      <c r="B57">
        <v>50</v>
      </c>
      <c r="C57" s="18">
        <f t="shared" si="1"/>
        <v>5696.209412545862</v>
      </c>
      <c r="D57" s="18">
        <f t="shared" si="2"/>
        <v>4.746841177121552</v>
      </c>
      <c r="E57" s="18">
        <f t="shared" si="3"/>
        <v>515.6831588314194</v>
      </c>
      <c r="F57" s="18">
        <f t="shared" si="0"/>
        <v>520.4300000085409</v>
      </c>
      <c r="G57" s="18">
        <f t="shared" si="4"/>
        <v>5180.526253714443</v>
      </c>
    </row>
    <row r="58" spans="2:7" ht="12.75">
      <c r="B58">
        <v>51</v>
      </c>
      <c r="C58" s="18">
        <f t="shared" si="1"/>
        <v>5180.526253714443</v>
      </c>
      <c r="D58" s="18">
        <f t="shared" si="2"/>
        <v>4.317105211428703</v>
      </c>
      <c r="E58" s="18">
        <f t="shared" si="3"/>
        <v>516.1128947971122</v>
      </c>
      <c r="F58" s="18">
        <f t="shared" si="0"/>
        <v>520.4300000085409</v>
      </c>
      <c r="G58" s="18">
        <f t="shared" si="4"/>
        <v>4664.413358917331</v>
      </c>
    </row>
    <row r="59" spans="2:7" ht="12.75">
      <c r="B59">
        <v>52</v>
      </c>
      <c r="C59" s="18">
        <f t="shared" si="1"/>
        <v>4664.413358917331</v>
      </c>
      <c r="D59" s="18">
        <f t="shared" si="2"/>
        <v>3.887011132431109</v>
      </c>
      <c r="E59" s="18">
        <f t="shared" si="3"/>
        <v>516.5429888761098</v>
      </c>
      <c r="F59" s="18">
        <f t="shared" si="0"/>
        <v>520.4300000085409</v>
      </c>
      <c r="G59" s="18">
        <f t="shared" si="4"/>
        <v>4147.870370041221</v>
      </c>
    </row>
    <row r="60" spans="2:7" ht="12.75">
      <c r="B60">
        <v>53</v>
      </c>
      <c r="C60" s="18">
        <f t="shared" si="1"/>
        <v>4147.870370041221</v>
      </c>
      <c r="D60" s="18">
        <f t="shared" si="2"/>
        <v>3.4565586417010175</v>
      </c>
      <c r="E60" s="18">
        <f t="shared" si="3"/>
        <v>516.9734413668399</v>
      </c>
      <c r="F60" s="18">
        <f t="shared" si="0"/>
        <v>520.4300000085409</v>
      </c>
      <c r="G60" s="18">
        <f t="shared" si="4"/>
        <v>3630.896928674381</v>
      </c>
    </row>
    <row r="61" spans="2:7" ht="12.75">
      <c r="B61">
        <v>54</v>
      </c>
      <c r="C61" s="18">
        <f t="shared" si="1"/>
        <v>3630.896928674381</v>
      </c>
      <c r="D61" s="18">
        <f t="shared" si="2"/>
        <v>3.025747440561984</v>
      </c>
      <c r="E61" s="18">
        <f t="shared" si="3"/>
        <v>517.4042525679789</v>
      </c>
      <c r="F61" s="18">
        <f t="shared" si="0"/>
        <v>520.4300000085409</v>
      </c>
      <c r="G61" s="18">
        <f t="shared" si="4"/>
        <v>3113.492676106402</v>
      </c>
    </row>
    <row r="62" spans="2:7" ht="12.75">
      <c r="B62">
        <v>55</v>
      </c>
      <c r="C62" s="18">
        <f t="shared" si="1"/>
        <v>3113.492676106402</v>
      </c>
      <c r="D62" s="18">
        <f t="shared" si="2"/>
        <v>2.5945772300886687</v>
      </c>
      <c r="E62" s="18">
        <f t="shared" si="3"/>
        <v>517.8354227784522</v>
      </c>
      <c r="F62" s="18">
        <f t="shared" si="0"/>
        <v>520.4300000085409</v>
      </c>
      <c r="G62" s="18">
        <f t="shared" si="4"/>
        <v>2595.65725332795</v>
      </c>
    </row>
    <row r="63" spans="2:7" ht="12.75">
      <c r="B63">
        <v>56</v>
      </c>
      <c r="C63" s="18">
        <f t="shared" si="1"/>
        <v>2595.65725332795</v>
      </c>
      <c r="D63" s="18">
        <f t="shared" si="2"/>
        <v>2.1630477111066253</v>
      </c>
      <c r="E63" s="18">
        <f t="shared" si="3"/>
        <v>518.2669522974343</v>
      </c>
      <c r="F63" s="18">
        <f t="shared" si="0"/>
        <v>520.4300000085409</v>
      </c>
      <c r="G63" s="18">
        <f t="shared" si="4"/>
        <v>2077.3903010305157</v>
      </c>
    </row>
    <row r="64" spans="2:7" ht="12.75">
      <c r="B64">
        <v>57</v>
      </c>
      <c r="C64" s="18">
        <f t="shared" si="1"/>
        <v>2077.3903010305157</v>
      </c>
      <c r="D64" s="18">
        <f t="shared" si="2"/>
        <v>1.7311585841920965</v>
      </c>
      <c r="E64" s="18">
        <f t="shared" si="3"/>
        <v>518.6988414243488</v>
      </c>
      <c r="F64" s="18">
        <f t="shared" si="0"/>
        <v>520.4300000085409</v>
      </c>
      <c r="G64" s="18">
        <f t="shared" si="4"/>
        <v>1558.691459606167</v>
      </c>
    </row>
    <row r="65" spans="2:7" ht="12.75">
      <c r="B65">
        <v>58</v>
      </c>
      <c r="C65" s="18">
        <f t="shared" si="1"/>
        <v>1558.691459606167</v>
      </c>
      <c r="D65" s="18">
        <f t="shared" si="2"/>
        <v>1.298909549671806</v>
      </c>
      <c r="E65" s="18">
        <f t="shared" si="3"/>
        <v>519.131090458869</v>
      </c>
      <c r="F65" s="18">
        <f t="shared" si="0"/>
        <v>520.4300000085409</v>
      </c>
      <c r="G65" s="18">
        <f t="shared" si="4"/>
        <v>1039.560369147298</v>
      </c>
    </row>
    <row r="66" spans="2:7" ht="12.75">
      <c r="B66">
        <v>59</v>
      </c>
      <c r="C66" s="18">
        <f t="shared" si="1"/>
        <v>1039.560369147298</v>
      </c>
      <c r="D66" s="18">
        <f t="shared" si="2"/>
        <v>0.8663003076227483</v>
      </c>
      <c r="E66" s="18">
        <f t="shared" si="3"/>
        <v>519.5636997009182</v>
      </c>
      <c r="F66" s="18">
        <f t="shared" si="0"/>
        <v>520.4300000085409</v>
      </c>
      <c r="G66" s="18">
        <f t="shared" si="4"/>
        <v>519.9966694463798</v>
      </c>
    </row>
    <row r="67" spans="2:7" ht="12.75">
      <c r="B67" s="54">
        <v>60</v>
      </c>
      <c r="C67" s="55">
        <f t="shared" si="1"/>
        <v>519.9966694463798</v>
      </c>
      <c r="D67" s="55">
        <f t="shared" si="2"/>
        <v>0.43333055787198316</v>
      </c>
      <c r="E67" s="55">
        <f t="shared" si="3"/>
        <v>519.996669450669</v>
      </c>
      <c r="F67" s="55">
        <f t="shared" si="0"/>
        <v>520.4300000085409</v>
      </c>
      <c r="G67" s="55">
        <f t="shared" si="4"/>
        <v>-4.2891770135611296E-09</v>
      </c>
    </row>
    <row r="68" spans="4:6" ht="12.75">
      <c r="D68" s="53">
        <f>SUM(D8:D67)</f>
        <v>780.1647371351329</v>
      </c>
      <c r="E68" s="52">
        <f>SUM(E8:E67)</f>
        <v>30445.63526337732</v>
      </c>
      <c r="F68" s="52">
        <f>SUM(F8:F67)</f>
        <v>31225.80000051248</v>
      </c>
    </row>
    <row r="70" ht="12.75">
      <c r="D70" s="13"/>
    </row>
    <row r="71" ht="12.75">
      <c r="D71" s="5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B473"/>
  <sheetViews>
    <sheetView zoomScale="90" zoomScaleNormal="90" workbookViewId="0" topLeftCell="A1">
      <selection activeCell="L10" sqref="L10"/>
    </sheetView>
  </sheetViews>
  <sheetFormatPr defaultColWidth="9.140625" defaultRowHeight="12.75"/>
  <cols>
    <col min="1" max="1" width="46.140625" style="0" customWidth="1"/>
    <col min="2" max="2" width="16.00390625" style="0" customWidth="1"/>
    <col min="3" max="3" width="24.57421875" style="0" customWidth="1"/>
    <col min="4" max="4" width="30.140625" style="0" customWidth="1"/>
    <col min="5" max="5" width="29.28125" style="0" customWidth="1"/>
    <col min="6" max="6" width="4.140625" style="0" customWidth="1"/>
    <col min="7" max="7" width="29.28125" style="0" customWidth="1"/>
    <col min="8" max="8" width="15.00390625" style="0" bestFit="1" customWidth="1"/>
    <col min="9" max="9" width="12.140625" style="0" bestFit="1" customWidth="1"/>
    <col min="10" max="10" width="2.7109375" style="0" customWidth="1"/>
    <col min="11" max="11" width="21.57421875" style="0" bestFit="1" customWidth="1"/>
    <col min="12" max="12" width="12.140625" style="0" bestFit="1" customWidth="1"/>
    <col min="13" max="13" width="1.7109375" style="0" customWidth="1"/>
    <col min="14" max="14" width="46.421875" style="0" bestFit="1" customWidth="1"/>
    <col min="15" max="15" width="14.140625" style="0" bestFit="1" customWidth="1"/>
    <col min="16" max="16" width="2.28125" style="0" customWidth="1"/>
    <col min="17" max="17" width="3.28125" style="0" customWidth="1"/>
    <col min="18" max="18" width="25.00390625" style="0" bestFit="1" customWidth="1"/>
    <col min="19" max="19" width="12.7109375" style="0" bestFit="1" customWidth="1"/>
    <col min="20" max="20" width="13.28125" style="0" bestFit="1" customWidth="1"/>
    <col min="21" max="21" width="2.421875" style="0" bestFit="1" customWidth="1"/>
    <col min="22" max="22" width="18.421875" style="0" bestFit="1" customWidth="1"/>
    <col min="23" max="23" width="19.28125" style="0" bestFit="1" customWidth="1"/>
  </cols>
  <sheetData>
    <row r="1" spans="1:28" ht="15" customHeight="1" thickBot="1">
      <c r="A1" s="167" t="s">
        <v>97</v>
      </c>
      <c r="B1" s="118"/>
      <c r="C1" s="118"/>
      <c r="D1" s="118"/>
      <c r="E1" s="118"/>
      <c r="F1" s="107"/>
      <c r="G1" s="107"/>
      <c r="H1" s="261" t="s">
        <v>89</v>
      </c>
      <c r="I1" s="262"/>
      <c r="J1" s="145"/>
      <c r="K1" s="261" t="s">
        <v>40</v>
      </c>
      <c r="L1" s="262"/>
      <c r="M1" s="146"/>
      <c r="N1" s="261" t="s">
        <v>41</v>
      </c>
      <c r="O1" s="263"/>
      <c r="P1" s="263"/>
      <c r="Q1" s="262"/>
      <c r="R1" s="28"/>
      <c r="S1" s="28"/>
      <c r="T1" s="28"/>
      <c r="U1" s="28"/>
      <c r="V1" s="28"/>
      <c r="W1" s="28"/>
      <c r="X1" s="29"/>
      <c r="Y1" s="25"/>
      <c r="Z1" s="25"/>
      <c r="AA1" s="25"/>
      <c r="AB1" s="25"/>
    </row>
    <row r="2" spans="1:28" ht="15" customHeight="1" thickBot="1" thickTop="1">
      <c r="A2" s="119"/>
      <c r="B2" s="119"/>
      <c r="C2" s="119"/>
      <c r="D2" s="119"/>
      <c r="E2" s="119"/>
      <c r="H2" s="147" t="s">
        <v>90</v>
      </c>
      <c r="I2" s="65">
        <v>2416.2</v>
      </c>
      <c r="J2" s="108"/>
      <c r="K2" s="21" t="s">
        <v>42</v>
      </c>
      <c r="L2" s="65"/>
      <c r="M2" s="108"/>
      <c r="N2" s="63"/>
      <c r="O2" s="63"/>
      <c r="P2" s="21"/>
      <c r="Q2" s="108"/>
      <c r="R2" s="21"/>
      <c r="S2" s="21"/>
      <c r="T2" s="21"/>
      <c r="U2" s="21"/>
      <c r="V2" s="21"/>
      <c r="W2" s="21"/>
      <c r="X2" s="34"/>
      <c r="Y2" s="25"/>
      <c r="Z2" s="25"/>
      <c r="AA2" s="25"/>
      <c r="AB2" s="25"/>
    </row>
    <row r="3" spans="1:28" s="60" customFormat="1" ht="15" customHeight="1">
      <c r="A3" s="120" t="s">
        <v>28</v>
      </c>
      <c r="B3" s="168" t="s">
        <v>29</v>
      </c>
      <c r="C3" s="121" t="s">
        <v>30</v>
      </c>
      <c r="D3" s="121" t="s">
        <v>31</v>
      </c>
      <c r="E3" s="122" t="s">
        <v>32</v>
      </c>
      <c r="F3" s="59"/>
      <c r="H3" s="147" t="s">
        <v>91</v>
      </c>
      <c r="I3" s="65">
        <v>600</v>
      </c>
      <c r="J3" s="108"/>
      <c r="K3" s="109" t="s">
        <v>43</v>
      </c>
      <c r="L3" s="110">
        <f>T21/12</f>
        <v>231.3758333333333</v>
      </c>
      <c r="M3" s="108"/>
      <c r="N3" s="60" t="s">
        <v>93</v>
      </c>
      <c r="O3" s="169">
        <f>I6</f>
        <v>3202.2</v>
      </c>
      <c r="P3" s="21"/>
      <c r="Q3" s="108"/>
      <c r="R3" s="21"/>
      <c r="S3" s="21"/>
      <c r="T3" s="21"/>
      <c r="U3" s="21"/>
      <c r="V3" s="21"/>
      <c r="W3" s="21"/>
      <c r="X3" s="34"/>
      <c r="Y3" s="117"/>
      <c r="Z3" s="117"/>
      <c r="AA3" s="117"/>
      <c r="AB3" s="117"/>
    </row>
    <row r="4" spans="1:28" ht="15" customHeight="1">
      <c r="A4" s="123"/>
      <c r="B4" s="124"/>
      <c r="C4" s="125"/>
      <c r="D4" s="126"/>
      <c r="E4" s="127"/>
      <c r="H4" s="147" t="s">
        <v>92</v>
      </c>
      <c r="I4" s="65">
        <v>186</v>
      </c>
      <c r="J4" s="108"/>
      <c r="K4" s="109" t="s">
        <v>44</v>
      </c>
      <c r="L4" s="110">
        <f>T22/12</f>
        <v>149.8044</v>
      </c>
      <c r="M4" s="108"/>
      <c r="N4" t="s">
        <v>88</v>
      </c>
      <c r="O4" s="13">
        <f>L34</f>
        <v>2838.215133333333</v>
      </c>
      <c r="P4" s="21"/>
      <c r="Q4" s="108"/>
      <c r="R4" s="21"/>
      <c r="S4" s="21"/>
      <c r="T4" s="21"/>
      <c r="U4" s="21"/>
      <c r="V4" s="21"/>
      <c r="W4" s="21"/>
      <c r="X4" s="34"/>
      <c r="Y4" s="25"/>
      <c r="Z4" s="25"/>
      <c r="AA4" s="25"/>
      <c r="AB4" s="25"/>
    </row>
    <row r="5" spans="1:28" ht="15" customHeight="1">
      <c r="A5" s="123"/>
      <c r="B5" s="124"/>
      <c r="C5" s="125"/>
      <c r="D5" s="126"/>
      <c r="E5" s="127"/>
      <c r="H5" s="147" t="s">
        <v>87</v>
      </c>
      <c r="I5" s="65">
        <v>0</v>
      </c>
      <c r="J5" s="108"/>
      <c r="K5" s="109" t="s">
        <v>45</v>
      </c>
      <c r="L5" s="110">
        <f>T23/12</f>
        <v>35.0349</v>
      </c>
      <c r="M5" s="108"/>
      <c r="N5" s="70" t="s">
        <v>47</v>
      </c>
      <c r="O5" s="171">
        <f>O3-O4</f>
        <v>363.9848666666667</v>
      </c>
      <c r="P5" s="21"/>
      <c r="Q5" s="108"/>
      <c r="R5" s="21"/>
      <c r="S5" s="21"/>
      <c r="T5" s="21"/>
      <c r="U5" s="21"/>
      <c r="V5" s="21"/>
      <c r="W5" s="21"/>
      <c r="X5" s="34"/>
      <c r="Y5" s="25"/>
      <c r="Z5" s="25"/>
      <c r="AA5" s="25"/>
      <c r="AB5" s="25"/>
    </row>
    <row r="6" spans="1:28" ht="15" customHeight="1" thickBot="1">
      <c r="A6" s="123"/>
      <c r="B6" s="124"/>
      <c r="C6" s="125"/>
      <c r="D6" s="126"/>
      <c r="E6" s="127"/>
      <c r="H6" s="148" t="s">
        <v>93</v>
      </c>
      <c r="I6" s="101">
        <f>SUM(I2:I5)</f>
        <v>3202.2</v>
      </c>
      <c r="J6" s="108"/>
      <c r="K6" s="163" t="s">
        <v>46</v>
      </c>
      <c r="L6" s="161">
        <v>0</v>
      </c>
      <c r="M6" s="108"/>
      <c r="P6" s="21"/>
      <c r="Q6" s="108"/>
      <c r="S6" s="21"/>
      <c r="T6" s="21"/>
      <c r="U6" s="21"/>
      <c r="V6" s="21"/>
      <c r="W6" s="21"/>
      <c r="X6" s="34"/>
      <c r="Y6" s="25"/>
      <c r="Z6" s="25"/>
      <c r="AA6" s="25"/>
      <c r="AB6" s="25"/>
    </row>
    <row r="7" spans="1:28" ht="15" customHeight="1" thickBot="1" thickTop="1">
      <c r="A7" s="128" t="s">
        <v>33</v>
      </c>
      <c r="B7" s="129">
        <v>0</v>
      </c>
      <c r="C7" s="130">
        <v>1.5</v>
      </c>
      <c r="D7" s="131">
        <v>0.03</v>
      </c>
      <c r="E7" s="132">
        <f>-PMT(D7/12,C7*12,B7/(1+D7)^C7)</f>
        <v>0</v>
      </c>
      <c r="H7" s="148"/>
      <c r="I7" s="65"/>
      <c r="J7" s="108"/>
      <c r="K7" s="162" t="s">
        <v>48</v>
      </c>
      <c r="L7" s="111">
        <f>SUM(L3:L6)</f>
        <v>416.21513333333326</v>
      </c>
      <c r="M7" s="108"/>
      <c r="N7" s="175" t="s">
        <v>99</v>
      </c>
      <c r="O7" s="18">
        <f>N24</f>
        <v>333.3333333333333</v>
      </c>
      <c r="P7" s="21"/>
      <c r="Q7" s="108"/>
      <c r="S7" s="21"/>
      <c r="T7" s="21"/>
      <c r="U7" s="21"/>
      <c r="V7" s="21"/>
      <c r="W7" s="21"/>
      <c r="X7" s="34"/>
      <c r="Y7" s="25"/>
      <c r="Z7" s="25"/>
      <c r="AA7" s="25"/>
      <c r="AB7" s="25"/>
    </row>
    <row r="8" spans="1:28" ht="15" customHeight="1">
      <c r="A8" s="133" t="s">
        <v>34</v>
      </c>
      <c r="B8" s="119"/>
      <c r="C8" s="133"/>
      <c r="D8" s="133"/>
      <c r="E8" s="134">
        <f>SUM(E4:E7)</f>
        <v>0</v>
      </c>
      <c r="H8" s="148"/>
      <c r="I8" s="65"/>
      <c r="J8" s="108"/>
      <c r="K8" s="69" t="s">
        <v>49</v>
      </c>
      <c r="L8" s="112">
        <v>300</v>
      </c>
      <c r="M8" s="108"/>
      <c r="N8" s="66" t="str">
        <f>A3</f>
        <v>Near Term Goals (0-2 year)</v>
      </c>
      <c r="O8" s="159">
        <f>E8</f>
        <v>0</v>
      </c>
      <c r="P8" s="21"/>
      <c r="Q8" s="108"/>
      <c r="S8" s="21"/>
      <c r="T8" s="21"/>
      <c r="U8" s="21"/>
      <c r="V8" s="21"/>
      <c r="W8" s="21"/>
      <c r="X8" s="34"/>
      <c r="Y8" s="25"/>
      <c r="Z8" s="25"/>
      <c r="AA8" s="25"/>
      <c r="AB8" s="25"/>
    </row>
    <row r="9" spans="1:28" ht="15" customHeight="1" thickBot="1">
      <c r="A9" s="135"/>
      <c r="B9" s="135"/>
      <c r="C9" s="135"/>
      <c r="D9" s="135"/>
      <c r="E9" s="135"/>
      <c r="H9" s="148"/>
      <c r="I9" s="65"/>
      <c r="J9" s="108"/>
      <c r="K9" s="69" t="s">
        <v>50</v>
      </c>
      <c r="L9" s="165">
        <v>520</v>
      </c>
      <c r="M9" s="108"/>
      <c r="N9" s="66" t="str">
        <f>A10</f>
        <v>Medium Term Goals (2-5 Years)</v>
      </c>
      <c r="O9" s="159">
        <f>E14</f>
        <v>0</v>
      </c>
      <c r="P9" s="21"/>
      <c r="Q9" s="108"/>
      <c r="S9" s="21"/>
      <c r="T9" s="21"/>
      <c r="U9" s="21"/>
      <c r="V9" s="21"/>
      <c r="W9" s="21"/>
      <c r="X9" s="34"/>
      <c r="Y9" s="25"/>
      <c r="Z9" s="25"/>
      <c r="AA9" s="25"/>
      <c r="AB9" s="25"/>
    </row>
    <row r="10" spans="1:28" ht="15" customHeight="1">
      <c r="A10" s="136" t="s">
        <v>35</v>
      </c>
      <c r="B10" s="137" t="s">
        <v>29</v>
      </c>
      <c r="C10" s="137" t="s">
        <v>30</v>
      </c>
      <c r="D10" s="137" t="str">
        <f>D3</f>
        <v>Annual Return on Savings</v>
      </c>
      <c r="E10" s="138" t="s">
        <v>32</v>
      </c>
      <c r="H10" s="149"/>
      <c r="I10" s="65"/>
      <c r="J10" s="108"/>
      <c r="K10" s="69" t="s">
        <v>51</v>
      </c>
      <c r="L10" s="112">
        <v>160</v>
      </c>
      <c r="M10" s="108"/>
      <c r="N10" s="170" t="str">
        <f>A16</f>
        <v>Long Term Goals (5+ Years)</v>
      </c>
      <c r="O10" s="160">
        <f>E20</f>
        <v>0</v>
      </c>
      <c r="P10" s="21"/>
      <c r="Q10" s="108"/>
      <c r="S10" s="21"/>
      <c r="T10" s="21"/>
      <c r="U10" s="21"/>
      <c r="V10" s="21"/>
      <c r="W10" s="21"/>
      <c r="X10" s="34"/>
      <c r="Y10" s="25"/>
      <c r="Z10" s="25"/>
      <c r="AA10" s="25"/>
      <c r="AB10" s="25"/>
    </row>
    <row r="11" spans="1:28" ht="15" customHeight="1">
      <c r="A11" s="123"/>
      <c r="B11" s="124"/>
      <c r="C11" s="125"/>
      <c r="D11" s="126"/>
      <c r="E11" s="127"/>
      <c r="H11" s="149"/>
      <c r="I11" s="65"/>
      <c r="J11" s="108"/>
      <c r="K11" s="113" t="s">
        <v>52</v>
      </c>
      <c r="L11" s="114">
        <v>60</v>
      </c>
      <c r="M11" s="108"/>
      <c r="N11" t="s">
        <v>98</v>
      </c>
      <c r="O11" s="53">
        <f>SUM(O7:O10)</f>
        <v>333.3333333333333</v>
      </c>
      <c r="P11" s="21"/>
      <c r="Q11" s="108"/>
      <c r="R11" s="21"/>
      <c r="S11" s="21"/>
      <c r="T11" s="21"/>
      <c r="U11" s="21"/>
      <c r="V11" s="21"/>
      <c r="W11" s="21"/>
      <c r="X11" s="34"/>
      <c r="Y11" s="25"/>
      <c r="Z11" s="25"/>
      <c r="AA11" s="25"/>
      <c r="AB11" s="25"/>
    </row>
    <row r="12" spans="1:28" ht="15" customHeight="1">
      <c r="A12" s="123"/>
      <c r="B12" s="124"/>
      <c r="C12" s="125"/>
      <c r="D12" s="126"/>
      <c r="E12" s="127"/>
      <c r="H12" s="149"/>
      <c r="I12" s="65"/>
      <c r="J12" s="108"/>
      <c r="K12" s="69" t="s">
        <v>53</v>
      </c>
      <c r="L12" s="112">
        <v>190</v>
      </c>
      <c r="M12" s="108"/>
      <c r="N12" s="64"/>
      <c r="O12" s="65"/>
      <c r="P12" s="21"/>
      <c r="Q12" s="108"/>
      <c r="R12" s="21"/>
      <c r="S12" s="21"/>
      <c r="T12" s="21"/>
      <c r="U12" s="21"/>
      <c r="V12" s="21"/>
      <c r="W12" s="21"/>
      <c r="X12" s="34"/>
      <c r="Y12" s="25"/>
      <c r="Z12" s="25"/>
      <c r="AA12" s="25"/>
      <c r="AB12" s="25"/>
    </row>
    <row r="13" spans="1:28" ht="15" customHeight="1" thickBot="1">
      <c r="A13" s="123" t="s">
        <v>36</v>
      </c>
      <c r="B13" s="124">
        <v>0</v>
      </c>
      <c r="C13" s="125">
        <v>2</v>
      </c>
      <c r="D13" s="126">
        <v>0.03</v>
      </c>
      <c r="E13" s="127">
        <f>-PMT(D13/12,C13*12,B13/(1+D13/12)^(C13*12))</f>
        <v>0</v>
      </c>
      <c r="H13" s="150"/>
      <c r="I13" s="66"/>
      <c r="J13" s="115"/>
      <c r="K13" s="69" t="s">
        <v>55</v>
      </c>
      <c r="L13" s="112">
        <v>30</v>
      </c>
      <c r="M13" s="115"/>
      <c r="N13" s="69" t="s">
        <v>8</v>
      </c>
      <c r="O13" s="65">
        <f>O5-O11</f>
        <v>30.65153333333336</v>
      </c>
      <c r="P13" s="66"/>
      <c r="Q13" s="115"/>
      <c r="R13" s="66"/>
      <c r="S13" s="66"/>
      <c r="T13" s="66"/>
      <c r="U13" s="66"/>
      <c r="V13" s="66"/>
      <c r="W13" s="66"/>
      <c r="X13" s="151"/>
      <c r="Y13" s="25"/>
      <c r="Z13" s="25"/>
      <c r="AA13" s="25"/>
      <c r="AB13" s="25"/>
    </row>
    <row r="14" spans="1:28" ht="15" customHeight="1" thickBot="1">
      <c r="A14" s="139" t="s">
        <v>37</v>
      </c>
      <c r="B14" s="139"/>
      <c r="C14" s="139"/>
      <c r="D14" s="139"/>
      <c r="E14" s="140">
        <f>SUM(E11:E13)</f>
        <v>0</v>
      </c>
      <c r="H14" s="150"/>
      <c r="I14" s="66"/>
      <c r="J14" s="115"/>
      <c r="K14" s="69" t="s">
        <v>95</v>
      </c>
      <c r="L14" s="112">
        <v>27</v>
      </c>
      <c r="M14" s="115"/>
      <c r="N14" s="67"/>
      <c r="O14" s="68"/>
      <c r="P14" s="66"/>
      <c r="Q14" s="115"/>
      <c r="R14" s="66"/>
      <c r="S14" s="66"/>
      <c r="T14" s="66"/>
      <c r="U14" s="66"/>
      <c r="V14" s="66"/>
      <c r="W14" s="66"/>
      <c r="X14" s="151"/>
      <c r="Y14" s="25"/>
      <c r="Z14" s="25"/>
      <c r="AA14" s="25"/>
      <c r="AB14" s="25"/>
    </row>
    <row r="15" spans="1:28" ht="15" customHeight="1" thickBot="1">
      <c r="A15" s="135"/>
      <c r="B15" s="135"/>
      <c r="C15" s="135"/>
      <c r="D15" s="135"/>
      <c r="E15" s="135"/>
      <c r="H15" s="150"/>
      <c r="I15" s="66"/>
      <c r="J15" s="115"/>
      <c r="K15" s="69" t="s">
        <v>56</v>
      </c>
      <c r="L15" s="112"/>
      <c r="M15" s="115"/>
      <c r="N15" s="143" t="s">
        <v>54</v>
      </c>
      <c r="O15" s="144" t="str">
        <f>IF(O13&gt;0,"YES","NO")</f>
        <v>YES</v>
      </c>
      <c r="P15" s="66"/>
      <c r="Q15" s="115"/>
      <c r="R15" s="264" t="s">
        <v>57</v>
      </c>
      <c r="S15" s="265"/>
      <c r="T15" s="265"/>
      <c r="U15" s="265"/>
      <c r="V15" s="265"/>
      <c r="W15" s="266"/>
      <c r="X15" s="151"/>
      <c r="Y15" s="25"/>
      <c r="Z15" s="25"/>
      <c r="AA15" s="25"/>
      <c r="AB15" s="25"/>
    </row>
    <row r="16" spans="1:28" ht="15" customHeight="1">
      <c r="A16" s="141" t="s">
        <v>38</v>
      </c>
      <c r="B16" s="121" t="s">
        <v>29</v>
      </c>
      <c r="C16" s="121" t="s">
        <v>30</v>
      </c>
      <c r="D16" s="121" t="str">
        <f>D10</f>
        <v>Annual Return on Savings</v>
      </c>
      <c r="E16" s="122" t="s">
        <v>32</v>
      </c>
      <c r="H16" s="150"/>
      <c r="I16" s="66"/>
      <c r="J16" s="115"/>
      <c r="K16" s="109" t="s">
        <v>58</v>
      </c>
      <c r="L16" s="112">
        <v>50</v>
      </c>
      <c r="M16" s="115"/>
      <c r="P16" s="66"/>
      <c r="Q16" s="115"/>
      <c r="R16" s="71"/>
      <c r="S16" s="72"/>
      <c r="T16" s="72"/>
      <c r="U16" s="73"/>
      <c r="V16" s="72"/>
      <c r="W16" s="74"/>
      <c r="X16" s="151"/>
      <c r="Y16" s="25"/>
      <c r="Z16" s="25"/>
      <c r="AA16" s="25"/>
      <c r="AB16" s="25"/>
    </row>
    <row r="17" spans="1:28" ht="15" customHeight="1">
      <c r="A17" s="123"/>
      <c r="B17" s="124"/>
      <c r="C17" s="125"/>
      <c r="D17" s="126"/>
      <c r="E17" s="127"/>
      <c r="G17" s="51"/>
      <c r="H17" s="150"/>
      <c r="I17" s="66"/>
      <c r="J17" s="115"/>
      <c r="K17" s="109" t="s">
        <v>59</v>
      </c>
      <c r="L17" s="112">
        <v>80</v>
      </c>
      <c r="M17" s="115"/>
      <c r="N17" s="66"/>
      <c r="O17" s="66"/>
      <c r="P17" s="66"/>
      <c r="Q17" s="115"/>
      <c r="R17" s="71" t="s">
        <v>60</v>
      </c>
      <c r="S17" s="72"/>
      <c r="T17" s="75">
        <f>I2*12</f>
        <v>28994.399999999998</v>
      </c>
      <c r="U17" s="76"/>
      <c r="V17" s="72"/>
      <c r="W17" s="74"/>
      <c r="X17" s="151"/>
      <c r="Y17" s="25"/>
      <c r="Z17" s="25"/>
      <c r="AA17" s="25"/>
      <c r="AB17" s="25"/>
    </row>
    <row r="18" spans="1:28" ht="15" customHeight="1" thickBot="1">
      <c r="A18" s="123"/>
      <c r="B18" s="124"/>
      <c r="C18" s="125"/>
      <c r="D18" s="126"/>
      <c r="E18" s="132"/>
      <c r="H18" s="150"/>
      <c r="I18" s="66"/>
      <c r="J18" s="115"/>
      <c r="K18" s="109" t="s">
        <v>61</v>
      </c>
      <c r="L18" s="112">
        <v>30</v>
      </c>
      <c r="M18" s="115"/>
      <c r="N18" s="66"/>
      <c r="O18" s="66"/>
      <c r="P18" s="66"/>
      <c r="Q18" s="115"/>
      <c r="R18" s="71" t="s">
        <v>62</v>
      </c>
      <c r="S18" s="72"/>
      <c r="T18" s="66"/>
      <c r="U18" s="77"/>
      <c r="V18" s="78">
        <v>3100</v>
      </c>
      <c r="W18" s="74"/>
      <c r="X18" s="151"/>
      <c r="Y18" s="25"/>
      <c r="Z18" s="25"/>
      <c r="AA18" s="25"/>
      <c r="AB18" s="25"/>
    </row>
    <row r="19" spans="1:28" ht="15" customHeight="1" thickBot="1">
      <c r="A19" s="128" t="s">
        <v>96</v>
      </c>
      <c r="B19" s="129">
        <v>0</v>
      </c>
      <c r="C19" s="130">
        <v>40</v>
      </c>
      <c r="D19" s="131">
        <v>0.1</v>
      </c>
      <c r="E19" s="132">
        <f>-PMT(D19/12,C19*12,B19/(1+D19/12)^(C19*12))</f>
        <v>0</v>
      </c>
      <c r="H19" s="150"/>
      <c r="I19" s="66"/>
      <c r="J19" s="115"/>
      <c r="K19" s="109" t="s">
        <v>63</v>
      </c>
      <c r="L19" s="112">
        <v>20</v>
      </c>
      <c r="M19" s="115"/>
      <c r="N19" s="66"/>
      <c r="O19" s="66"/>
      <c r="P19" s="66"/>
      <c r="Q19" s="115"/>
      <c r="R19" s="71" t="s">
        <v>64</v>
      </c>
      <c r="S19" s="72"/>
      <c r="T19" s="66"/>
      <c r="U19" s="77"/>
      <c r="V19" s="78">
        <v>5000</v>
      </c>
      <c r="W19" s="74"/>
      <c r="X19" s="151"/>
      <c r="Y19" s="25"/>
      <c r="Z19" s="25"/>
      <c r="AA19" s="25"/>
      <c r="AB19" s="25"/>
    </row>
    <row r="20" spans="1:28" ht="15" customHeight="1" thickBot="1">
      <c r="A20" s="133" t="s">
        <v>39</v>
      </c>
      <c r="B20" s="119"/>
      <c r="C20" s="119"/>
      <c r="D20" s="119"/>
      <c r="E20" s="142">
        <f>SUM(E17:E19)</f>
        <v>0</v>
      </c>
      <c r="H20" s="150"/>
      <c r="I20" s="66"/>
      <c r="J20" s="115"/>
      <c r="K20" s="116" t="s">
        <v>65</v>
      </c>
      <c r="L20" s="112">
        <v>100</v>
      </c>
      <c r="M20" s="115"/>
      <c r="N20" s="176" t="s">
        <v>102</v>
      </c>
      <c r="O20" s="66"/>
      <c r="P20" s="66"/>
      <c r="Q20" s="115"/>
      <c r="R20" s="71" t="s">
        <v>66</v>
      </c>
      <c r="S20" s="72"/>
      <c r="T20" s="66"/>
      <c r="U20" s="76"/>
      <c r="V20" s="76">
        <f>T17-V18-V19</f>
        <v>20894.399999999998</v>
      </c>
      <c r="W20" s="74"/>
      <c r="X20" s="151"/>
      <c r="Y20" s="25"/>
      <c r="Z20" s="25"/>
      <c r="AA20" s="25"/>
      <c r="AB20" s="25"/>
    </row>
    <row r="21" spans="8:24" ht="12.75">
      <c r="H21" s="150"/>
      <c r="I21" s="66"/>
      <c r="J21" s="115"/>
      <c r="K21" s="69" t="s">
        <v>67</v>
      </c>
      <c r="L21" s="112">
        <v>40</v>
      </c>
      <c r="M21" s="115"/>
      <c r="N21" s="172" t="s">
        <v>100</v>
      </c>
      <c r="O21" s="66"/>
      <c r="P21" s="66"/>
      <c r="Q21" s="115"/>
      <c r="R21" s="71" t="s">
        <v>68</v>
      </c>
      <c r="S21" s="72"/>
      <c r="T21" s="76">
        <f>IF(V20&lt;=S29,V20*V29,IF(V20&lt;=S30,T30+V30*(V20-W30),IF(V20&lt;=S31,T31+(V20-W31)*V31,IF(V20&lt;=S32,T32+V32*(V20-W32),IF(V20&lt;=S33,T33+V33*(V20-W33),T34+V34*(V20-W34))))))</f>
        <v>2776.5099999999998</v>
      </c>
      <c r="U21" s="76"/>
      <c r="V21" s="76">
        <f>T30+(V30*(V20-R30))</f>
        <v>2776.5099999999998</v>
      </c>
      <c r="W21" s="74"/>
      <c r="X21" s="151"/>
    </row>
    <row r="22" spans="8:24" ht="12.75">
      <c r="H22" s="150"/>
      <c r="I22" s="66"/>
      <c r="J22" s="115"/>
      <c r="K22" s="152" t="s">
        <v>10</v>
      </c>
      <c r="L22" s="112">
        <v>50</v>
      </c>
      <c r="M22" s="115"/>
      <c r="N22" s="173">
        <v>4000</v>
      </c>
      <c r="O22" s="66"/>
      <c r="P22" s="66"/>
      <c r="Q22" s="115"/>
      <c r="R22" s="71" t="s">
        <v>44</v>
      </c>
      <c r="S22" s="79">
        <v>0.062</v>
      </c>
      <c r="T22" s="76">
        <f>IF(T17&lt;=80900,S22*T17,80900*S22)</f>
        <v>1797.6527999999998</v>
      </c>
      <c r="U22" s="76"/>
      <c r="V22" s="72"/>
      <c r="W22" s="74"/>
      <c r="X22" s="151"/>
    </row>
    <row r="23" spans="8:24" ht="12.75">
      <c r="H23" s="150"/>
      <c r="I23" s="66"/>
      <c r="J23" s="115"/>
      <c r="K23" s="69" t="s">
        <v>69</v>
      </c>
      <c r="L23" s="153"/>
      <c r="M23" s="115"/>
      <c r="N23" s="172" t="s">
        <v>101</v>
      </c>
      <c r="O23" s="66"/>
      <c r="P23" s="66"/>
      <c r="Q23" s="115"/>
      <c r="R23" s="80" t="s">
        <v>70</v>
      </c>
      <c r="S23" s="81">
        <v>0.0145</v>
      </c>
      <c r="T23" s="82">
        <f>S23*T17</f>
        <v>420.4188</v>
      </c>
      <c r="U23" s="76"/>
      <c r="V23" s="72"/>
      <c r="W23" s="74"/>
      <c r="X23" s="151"/>
    </row>
    <row r="24" spans="1:24" ht="13.5" thickBot="1">
      <c r="A24" t="s">
        <v>94</v>
      </c>
      <c r="H24" s="150"/>
      <c r="I24" s="66"/>
      <c r="J24" s="115"/>
      <c r="K24" s="69" t="s">
        <v>71</v>
      </c>
      <c r="L24" s="153"/>
      <c r="M24" s="115"/>
      <c r="N24" s="174">
        <f>N22/12</f>
        <v>333.3333333333333</v>
      </c>
      <c r="O24" s="66"/>
      <c r="P24" s="66"/>
      <c r="Q24" s="115"/>
      <c r="R24" s="71" t="s">
        <v>72</v>
      </c>
      <c r="S24" s="72"/>
      <c r="T24" s="76">
        <f>T17-SUM(T21:T23)</f>
        <v>23999.818399999996</v>
      </c>
      <c r="U24" s="76"/>
      <c r="V24" s="72"/>
      <c r="W24" s="74"/>
      <c r="X24" s="151"/>
    </row>
    <row r="25" spans="8:24" ht="13.5" thickBot="1">
      <c r="H25" s="150"/>
      <c r="I25" s="66"/>
      <c r="J25" s="115"/>
      <c r="K25" s="152" t="s">
        <v>73</v>
      </c>
      <c r="L25" s="166">
        <v>100</v>
      </c>
      <c r="M25" s="115"/>
      <c r="N25" s="66"/>
      <c r="O25" s="66"/>
      <c r="P25" s="66"/>
      <c r="Q25" s="115"/>
      <c r="R25" s="71"/>
      <c r="S25" s="72"/>
      <c r="T25" s="72"/>
      <c r="U25" s="72"/>
      <c r="V25" s="72"/>
      <c r="W25" s="74"/>
      <c r="X25" s="151"/>
    </row>
    <row r="26" spans="8:24" ht="16.5" thickBot="1">
      <c r="H26" s="150"/>
      <c r="I26" s="66"/>
      <c r="J26" s="115"/>
      <c r="K26" s="152" t="s">
        <v>74</v>
      </c>
      <c r="L26" s="153">
        <v>250</v>
      </c>
      <c r="M26" s="115"/>
      <c r="N26" s="177" t="s">
        <v>103</v>
      </c>
      <c r="O26" s="66"/>
      <c r="P26" s="66"/>
      <c r="Q26" s="115"/>
      <c r="R26" s="258" t="s">
        <v>75</v>
      </c>
      <c r="S26" s="259"/>
      <c r="T26" s="259"/>
      <c r="U26" s="259"/>
      <c r="V26" s="259"/>
      <c r="W26" s="260"/>
      <c r="X26" s="151"/>
    </row>
    <row r="27" spans="8:24" ht="12.75">
      <c r="H27" s="150"/>
      <c r="I27" s="66"/>
      <c r="J27" s="115"/>
      <c r="K27" s="152" t="s">
        <v>76</v>
      </c>
      <c r="L27" s="153">
        <v>150</v>
      </c>
      <c r="M27" s="115"/>
      <c r="N27" s="172" t="s">
        <v>100</v>
      </c>
      <c r="O27" s="66"/>
      <c r="P27" s="66"/>
      <c r="Q27" s="115"/>
      <c r="R27" s="83" t="s">
        <v>77</v>
      </c>
      <c r="S27" s="84"/>
      <c r="T27" s="84"/>
      <c r="U27" s="84"/>
      <c r="V27" s="85" t="s">
        <v>78</v>
      </c>
      <c r="W27" s="86" t="s">
        <v>79</v>
      </c>
      <c r="X27" s="151"/>
    </row>
    <row r="28" spans="8:24" ht="13.5" thickBot="1">
      <c r="H28" s="150"/>
      <c r="I28" s="66"/>
      <c r="J28" s="115"/>
      <c r="K28" s="152" t="s">
        <v>80</v>
      </c>
      <c r="L28" s="153">
        <v>150</v>
      </c>
      <c r="M28" s="115"/>
      <c r="N28" s="173">
        <v>5000</v>
      </c>
      <c r="O28" s="66"/>
      <c r="P28" s="66"/>
      <c r="Q28" s="115"/>
      <c r="R28" s="87" t="s">
        <v>81</v>
      </c>
      <c r="S28" s="88" t="s">
        <v>82</v>
      </c>
      <c r="T28" s="89" t="s">
        <v>83</v>
      </c>
      <c r="U28" s="88"/>
      <c r="V28" s="90"/>
      <c r="W28" s="91"/>
      <c r="X28" s="151"/>
    </row>
    <row r="29" spans="8:24" ht="12.75">
      <c r="H29" s="150"/>
      <c r="I29" s="66"/>
      <c r="J29" s="115"/>
      <c r="K29" s="152" t="s">
        <v>84</v>
      </c>
      <c r="L29" s="153">
        <v>40</v>
      </c>
      <c r="M29" s="115"/>
      <c r="N29" s="172" t="s">
        <v>101</v>
      </c>
      <c r="O29" s="66"/>
      <c r="P29" s="66"/>
      <c r="Q29" s="115"/>
      <c r="R29" s="92">
        <v>0</v>
      </c>
      <c r="S29" s="93">
        <v>7150</v>
      </c>
      <c r="T29" s="94"/>
      <c r="U29" s="84"/>
      <c r="V29" s="95">
        <v>0.1</v>
      </c>
      <c r="W29" s="96">
        <f aca="true" t="shared" si="0" ref="W29:W34">R29</f>
        <v>0</v>
      </c>
      <c r="X29" s="151"/>
    </row>
    <row r="30" spans="8:24" ht="13.5" thickBot="1">
      <c r="H30" s="149"/>
      <c r="I30" s="65"/>
      <c r="J30" s="108"/>
      <c r="K30" s="21"/>
      <c r="L30" s="153"/>
      <c r="M30" s="108"/>
      <c r="N30" s="174">
        <f>N28/12</f>
        <v>416.6666666666667</v>
      </c>
      <c r="O30" s="21"/>
      <c r="P30" s="21"/>
      <c r="Q30" s="108"/>
      <c r="R30" s="97">
        <f>S29+1</f>
        <v>7151</v>
      </c>
      <c r="S30" s="93">
        <v>29050</v>
      </c>
      <c r="T30" s="98">
        <f>S29*V29</f>
        <v>715</v>
      </c>
      <c r="U30" s="84" t="s">
        <v>85</v>
      </c>
      <c r="V30" s="95">
        <v>0.15</v>
      </c>
      <c r="W30" s="99">
        <f t="shared" si="0"/>
        <v>7151</v>
      </c>
      <c r="X30" s="34"/>
    </row>
    <row r="31" spans="8:24" ht="12.75">
      <c r="H31" s="149"/>
      <c r="I31" s="65"/>
      <c r="J31" s="108"/>
      <c r="K31" s="21"/>
      <c r="L31" s="154"/>
      <c r="M31" s="108"/>
      <c r="N31" s="21"/>
      <c r="O31" s="21"/>
      <c r="P31" s="21"/>
      <c r="Q31" s="108"/>
      <c r="R31" s="97">
        <f>S30+1</f>
        <v>29051</v>
      </c>
      <c r="S31" s="93">
        <v>70350</v>
      </c>
      <c r="T31" s="100">
        <f>(S30-R30)*V30+T30</f>
        <v>3999.85</v>
      </c>
      <c r="U31" s="84" t="s">
        <v>85</v>
      </c>
      <c r="V31" s="95">
        <v>0.25</v>
      </c>
      <c r="W31" s="99">
        <f t="shared" si="0"/>
        <v>29051</v>
      </c>
      <c r="X31" s="34"/>
    </row>
    <row r="32" spans="8:24" ht="12.75">
      <c r="H32" s="149"/>
      <c r="I32" s="65"/>
      <c r="J32" s="108"/>
      <c r="K32" s="152" t="s">
        <v>86</v>
      </c>
      <c r="L32" s="153">
        <v>75</v>
      </c>
      <c r="M32" s="108"/>
      <c r="N32" s="21"/>
      <c r="O32" s="21"/>
      <c r="P32" s="21"/>
      <c r="Q32" s="108"/>
      <c r="R32" s="97">
        <f>S31+1</f>
        <v>70351</v>
      </c>
      <c r="S32" s="93">
        <v>146750</v>
      </c>
      <c r="T32" s="100">
        <f>(S31-R31)*V31+T31</f>
        <v>14324.6</v>
      </c>
      <c r="U32" s="84" t="s">
        <v>85</v>
      </c>
      <c r="V32" s="95">
        <v>0.28</v>
      </c>
      <c r="W32" s="99">
        <f t="shared" si="0"/>
        <v>70351</v>
      </c>
      <c r="X32" s="34"/>
    </row>
    <row r="33" spans="8:24" ht="12.75">
      <c r="H33" s="149"/>
      <c r="I33" s="65"/>
      <c r="J33" s="108"/>
      <c r="K33" s="162"/>
      <c r="L33" s="166"/>
      <c r="M33" s="108"/>
      <c r="N33" s="21"/>
      <c r="O33" s="21"/>
      <c r="P33" s="21"/>
      <c r="Q33" s="108"/>
      <c r="R33" s="97">
        <f>S32+1</f>
        <v>146751</v>
      </c>
      <c r="S33" s="93">
        <v>319100</v>
      </c>
      <c r="T33" s="100">
        <f>(S32-R32)*V32+T32</f>
        <v>35716.32</v>
      </c>
      <c r="U33" s="84" t="s">
        <v>85</v>
      </c>
      <c r="V33" s="95">
        <v>0.33</v>
      </c>
      <c r="W33" s="99">
        <f t="shared" si="0"/>
        <v>146751</v>
      </c>
      <c r="X33" s="34"/>
    </row>
    <row r="34" spans="8:24" ht="13.5" thickBot="1">
      <c r="H34" s="149"/>
      <c r="I34" s="65"/>
      <c r="J34" s="108"/>
      <c r="K34" s="155" t="s">
        <v>88</v>
      </c>
      <c r="L34" s="101">
        <f>SUM(L7:L33)</f>
        <v>2838.215133333333</v>
      </c>
      <c r="M34" s="108"/>
      <c r="N34" s="21"/>
      <c r="O34" s="21"/>
      <c r="P34" s="21"/>
      <c r="Q34" s="108"/>
      <c r="R34" s="102">
        <f>S33+1</f>
        <v>319101</v>
      </c>
      <c r="S34" s="103"/>
      <c r="T34" s="104">
        <f>(S33-R33)*V33+T33</f>
        <v>92591.49</v>
      </c>
      <c r="U34" s="88" t="s">
        <v>85</v>
      </c>
      <c r="V34" s="105">
        <v>0.35</v>
      </c>
      <c r="W34" s="106">
        <f t="shared" si="0"/>
        <v>319101</v>
      </c>
      <c r="X34" s="34"/>
    </row>
    <row r="35" spans="8:24" ht="13.5" thickTop="1">
      <c r="H35" s="149"/>
      <c r="I35" s="65"/>
      <c r="J35" s="21"/>
      <c r="K35" s="21"/>
      <c r="L35" s="21"/>
      <c r="M35" s="21"/>
      <c r="N35" s="21"/>
      <c r="O35" s="21"/>
      <c r="P35" s="21"/>
      <c r="Q35" s="21"/>
      <c r="R35" s="21"/>
      <c r="S35" s="21"/>
      <c r="T35" s="21"/>
      <c r="U35" s="21"/>
      <c r="V35" s="21"/>
      <c r="W35" s="21"/>
      <c r="X35" s="34"/>
    </row>
    <row r="36" spans="8:24" ht="13.5" thickBot="1">
      <c r="H36" s="156"/>
      <c r="I36" s="157"/>
      <c r="J36" s="61"/>
      <c r="K36" s="61"/>
      <c r="L36" s="61"/>
      <c r="M36" s="61"/>
      <c r="N36" s="61"/>
      <c r="O36" s="61"/>
      <c r="P36" s="61"/>
      <c r="Q36" s="61"/>
      <c r="R36" s="61"/>
      <c r="S36" s="61"/>
      <c r="T36" s="61"/>
      <c r="U36" s="61"/>
      <c r="V36" s="61"/>
      <c r="W36" s="61"/>
      <c r="X36" s="158"/>
    </row>
    <row r="37" ht="12.75">
      <c r="I37" s="62"/>
    </row>
    <row r="38" ht="12.75">
      <c r="I38" s="62"/>
    </row>
    <row r="39" ht="12.75">
      <c r="I39" s="62"/>
    </row>
    <row r="85" ht="12.75">
      <c r="A85" s="164"/>
    </row>
    <row r="86" ht="12.75">
      <c r="A86" s="164"/>
    </row>
    <row r="87" ht="12.75">
      <c r="A87" s="164"/>
    </row>
    <row r="88" ht="12.75">
      <c r="A88" s="164"/>
    </row>
    <row r="89" ht="12.75">
      <c r="A89" s="164"/>
    </row>
    <row r="90" ht="12.75">
      <c r="A90" s="164"/>
    </row>
    <row r="101" ht="12.75">
      <c r="A101" s="164"/>
    </row>
    <row r="102" ht="12.75">
      <c r="A102" s="164"/>
    </row>
    <row r="103" ht="12.75">
      <c r="A103" s="164"/>
    </row>
    <row r="104" ht="12.75">
      <c r="A104" s="164"/>
    </row>
    <row r="105" ht="12.75">
      <c r="A105" s="164"/>
    </row>
    <row r="106" ht="12.75">
      <c r="A106" s="164"/>
    </row>
    <row r="107" ht="12.75">
      <c r="A107" s="164"/>
    </row>
    <row r="108" ht="12.75">
      <c r="A108" s="164"/>
    </row>
    <row r="109" ht="12.75">
      <c r="A109" s="164"/>
    </row>
    <row r="110" ht="12.75">
      <c r="A110" s="164"/>
    </row>
    <row r="111" ht="12.75">
      <c r="A111" s="164"/>
    </row>
    <row r="112" ht="12.75">
      <c r="A112" s="164"/>
    </row>
    <row r="113" ht="12.75">
      <c r="A113" s="164"/>
    </row>
    <row r="114" ht="12.75">
      <c r="A114" s="164"/>
    </row>
    <row r="115" ht="12.75">
      <c r="A115" s="164"/>
    </row>
    <row r="116" ht="12.75">
      <c r="A116" s="164"/>
    </row>
    <row r="117" ht="12.75">
      <c r="A117" s="164"/>
    </row>
    <row r="118" ht="12.75">
      <c r="A118" s="164"/>
    </row>
    <row r="119" ht="12.75">
      <c r="A119" s="164"/>
    </row>
    <row r="120" ht="12.75">
      <c r="A120" s="164"/>
    </row>
    <row r="121" ht="12.75">
      <c r="A121" s="164"/>
    </row>
    <row r="122" ht="12.75">
      <c r="A122" s="164"/>
    </row>
    <row r="123" ht="12.75">
      <c r="A123" s="164"/>
    </row>
    <row r="124" ht="12.75">
      <c r="A124" s="164"/>
    </row>
    <row r="125" ht="12.75">
      <c r="A125" s="164"/>
    </row>
    <row r="126" ht="12.75">
      <c r="A126" s="164"/>
    </row>
    <row r="127" ht="12.75">
      <c r="A127" s="164"/>
    </row>
    <row r="128" ht="12.75">
      <c r="A128" s="164"/>
    </row>
    <row r="129" ht="12.75">
      <c r="A129" s="164"/>
    </row>
    <row r="130" ht="12.75">
      <c r="A130" s="164"/>
    </row>
    <row r="131" ht="12.75">
      <c r="A131" s="164"/>
    </row>
    <row r="132" ht="12.75">
      <c r="A132" s="164"/>
    </row>
    <row r="133" ht="12.75">
      <c r="A133" s="164"/>
    </row>
    <row r="134" ht="12.75">
      <c r="A134" s="164"/>
    </row>
    <row r="135" ht="12.75">
      <c r="A135" s="164"/>
    </row>
    <row r="136" ht="12.75">
      <c r="A136" s="164"/>
    </row>
    <row r="137" ht="12.75">
      <c r="A137" s="164"/>
    </row>
    <row r="138" ht="12.75">
      <c r="A138" s="164"/>
    </row>
    <row r="139" ht="12.75">
      <c r="A139" s="164"/>
    </row>
    <row r="140" ht="12.75">
      <c r="A140" s="164"/>
    </row>
    <row r="141" ht="12.75">
      <c r="A141" s="164"/>
    </row>
    <row r="142" ht="12.75">
      <c r="A142" s="164"/>
    </row>
    <row r="143" ht="12.75">
      <c r="A143" s="164"/>
    </row>
    <row r="144" ht="12.75">
      <c r="A144" s="164"/>
    </row>
    <row r="145" ht="12.75">
      <c r="A145" s="164"/>
    </row>
    <row r="146" ht="12.75">
      <c r="A146" s="164"/>
    </row>
    <row r="147" ht="12.75">
      <c r="A147" s="164"/>
    </row>
    <row r="148" ht="12.75">
      <c r="A148" s="164"/>
    </row>
    <row r="149" ht="12.75">
      <c r="A149" s="164"/>
    </row>
    <row r="150" ht="12.75">
      <c r="A150" s="164"/>
    </row>
    <row r="151" ht="12.75">
      <c r="A151" s="164"/>
    </row>
    <row r="152" ht="12.75">
      <c r="A152" s="164"/>
    </row>
    <row r="153" ht="12.75">
      <c r="A153" s="164"/>
    </row>
    <row r="154" ht="12.75">
      <c r="A154" s="164"/>
    </row>
    <row r="155" ht="12.75">
      <c r="A155" s="164"/>
    </row>
    <row r="156" ht="12.75">
      <c r="A156" s="164"/>
    </row>
    <row r="157" ht="12.75">
      <c r="A157" s="164"/>
    </row>
    <row r="158" ht="12.75">
      <c r="A158" s="164"/>
    </row>
    <row r="159" ht="12.75">
      <c r="A159" s="164"/>
    </row>
    <row r="160" ht="12.75">
      <c r="A160" s="164"/>
    </row>
    <row r="161" ht="12.75">
      <c r="A161" s="164"/>
    </row>
    <row r="162" ht="12.75">
      <c r="A162" s="164"/>
    </row>
    <row r="163" ht="12.75">
      <c r="A163" s="164"/>
    </row>
    <row r="164" ht="12.75">
      <c r="A164" s="164"/>
    </row>
    <row r="165" ht="12.75">
      <c r="A165" s="164"/>
    </row>
    <row r="166" ht="12.75">
      <c r="A166" s="164"/>
    </row>
    <row r="167" ht="12.75">
      <c r="A167" s="164"/>
    </row>
    <row r="168" ht="12.75">
      <c r="A168" s="164"/>
    </row>
    <row r="169" ht="12.75">
      <c r="A169" s="164"/>
    </row>
    <row r="170" ht="12.75">
      <c r="A170" s="164"/>
    </row>
    <row r="171" ht="12.75">
      <c r="A171" s="164"/>
    </row>
    <row r="172" ht="12.75">
      <c r="A172" s="164"/>
    </row>
    <row r="173" ht="12.75">
      <c r="A173" s="164"/>
    </row>
    <row r="174" ht="12.75">
      <c r="A174" s="164"/>
    </row>
    <row r="175" ht="12.75">
      <c r="A175" s="164"/>
    </row>
    <row r="176" ht="12.75">
      <c r="A176" s="164"/>
    </row>
    <row r="177" ht="12.75">
      <c r="A177" s="164"/>
    </row>
    <row r="178" ht="12.75">
      <c r="A178" s="164"/>
    </row>
    <row r="179" ht="12.75">
      <c r="A179" s="164"/>
    </row>
    <row r="180" ht="12.75">
      <c r="A180" s="164"/>
    </row>
    <row r="181" ht="12.75">
      <c r="A181" s="164"/>
    </row>
    <row r="182" ht="12.75">
      <c r="A182" s="164"/>
    </row>
    <row r="183" ht="12.75">
      <c r="A183" s="164"/>
    </row>
    <row r="184" ht="12.75">
      <c r="A184" s="164"/>
    </row>
    <row r="185" ht="12.75">
      <c r="A185" s="164"/>
    </row>
    <row r="186" ht="12.75">
      <c r="A186" s="164"/>
    </row>
    <row r="187" ht="12.75">
      <c r="A187" s="164"/>
    </row>
    <row r="188" ht="12.75">
      <c r="A188" s="164"/>
    </row>
    <row r="189" ht="12.75">
      <c r="A189" s="164"/>
    </row>
    <row r="190" ht="12.75">
      <c r="A190" s="164"/>
    </row>
    <row r="191" ht="12.75">
      <c r="A191" s="164"/>
    </row>
    <row r="192" ht="12.75">
      <c r="A192" s="164"/>
    </row>
    <row r="193" ht="12.75">
      <c r="A193" s="164"/>
    </row>
    <row r="194" ht="12.75">
      <c r="A194" s="164"/>
    </row>
    <row r="195" ht="12.75">
      <c r="A195" s="164"/>
    </row>
    <row r="196" ht="12.75">
      <c r="A196" s="164"/>
    </row>
    <row r="197" ht="12.75">
      <c r="A197" s="164"/>
    </row>
    <row r="198" ht="12.75">
      <c r="A198" s="164"/>
    </row>
    <row r="199" ht="12.75">
      <c r="A199" s="164"/>
    </row>
    <row r="200" ht="12.75">
      <c r="A200" s="164"/>
    </row>
    <row r="201" ht="12.75">
      <c r="A201" s="164"/>
    </row>
    <row r="202" ht="12.75">
      <c r="A202" s="164"/>
    </row>
    <row r="203" ht="12.75">
      <c r="A203" s="164"/>
    </row>
    <row r="204" ht="12.75">
      <c r="A204" s="164"/>
    </row>
    <row r="205" ht="12.75">
      <c r="A205" s="164"/>
    </row>
    <row r="206" ht="12.75">
      <c r="A206" s="164"/>
    </row>
    <row r="207" ht="12.75">
      <c r="A207" s="164"/>
    </row>
    <row r="208" ht="12.75">
      <c r="A208" s="164"/>
    </row>
    <row r="209" ht="12.75">
      <c r="A209" s="164"/>
    </row>
    <row r="210" ht="12.75">
      <c r="A210" s="164"/>
    </row>
    <row r="211" ht="12.75">
      <c r="A211" s="164"/>
    </row>
    <row r="212" ht="12.75">
      <c r="A212" s="164"/>
    </row>
    <row r="213" ht="12.75">
      <c r="A213" s="164"/>
    </row>
    <row r="214" ht="12.75">
      <c r="A214" s="164"/>
    </row>
    <row r="215" ht="12.75">
      <c r="A215" s="164"/>
    </row>
    <row r="216" ht="12.75">
      <c r="A216" s="164"/>
    </row>
    <row r="217" ht="12.75">
      <c r="A217" s="164"/>
    </row>
    <row r="218" ht="12.75">
      <c r="A218" s="164"/>
    </row>
    <row r="219" ht="12.75">
      <c r="A219" s="164"/>
    </row>
    <row r="220" ht="12.75">
      <c r="A220" s="164"/>
    </row>
    <row r="221" ht="12.75">
      <c r="A221" s="164"/>
    </row>
    <row r="222" ht="12.75">
      <c r="A222" s="164"/>
    </row>
    <row r="223" ht="12.75">
      <c r="A223" s="164"/>
    </row>
    <row r="224" ht="12.75">
      <c r="A224" s="164"/>
    </row>
    <row r="225" ht="12.75">
      <c r="A225" s="164"/>
    </row>
    <row r="226" ht="12.75">
      <c r="A226" s="164"/>
    </row>
    <row r="227" ht="12.75">
      <c r="A227" s="164"/>
    </row>
    <row r="228" ht="12.75">
      <c r="A228" s="164"/>
    </row>
    <row r="229" ht="12.75">
      <c r="A229" s="164"/>
    </row>
    <row r="230" ht="12.75">
      <c r="A230" s="164"/>
    </row>
    <row r="231" ht="12.75">
      <c r="A231" s="164"/>
    </row>
    <row r="232" ht="12.75">
      <c r="A232" s="164"/>
    </row>
    <row r="233" ht="12.75">
      <c r="A233" s="164"/>
    </row>
    <row r="234" ht="12.75">
      <c r="A234" s="164"/>
    </row>
    <row r="237" ht="12.75">
      <c r="A237" s="164"/>
    </row>
    <row r="238" ht="12.75">
      <c r="A238" s="164"/>
    </row>
    <row r="239" ht="12.75">
      <c r="A239" s="164"/>
    </row>
    <row r="240" ht="12.75">
      <c r="A240" s="164"/>
    </row>
    <row r="241" ht="12.75">
      <c r="A241" s="164"/>
    </row>
    <row r="242" ht="12.75">
      <c r="A242" s="164"/>
    </row>
    <row r="243" ht="12.75">
      <c r="A243" s="164"/>
    </row>
    <row r="244" ht="12.75">
      <c r="A244" s="164"/>
    </row>
    <row r="245" ht="12.75">
      <c r="A245" s="164"/>
    </row>
    <row r="246" ht="12.75">
      <c r="A246" s="164"/>
    </row>
    <row r="247" ht="12.75">
      <c r="A247" s="164"/>
    </row>
    <row r="248" ht="12.75">
      <c r="A248" s="164"/>
    </row>
    <row r="249" ht="12.75">
      <c r="A249" s="164"/>
    </row>
    <row r="250" ht="12.75">
      <c r="A250" s="164"/>
    </row>
    <row r="253" ht="12.75">
      <c r="A253" s="164"/>
    </row>
    <row r="254" ht="12.75">
      <c r="A254" s="164"/>
    </row>
    <row r="255" ht="12.75">
      <c r="A255" s="164"/>
    </row>
    <row r="256" ht="12.75">
      <c r="A256" s="164"/>
    </row>
    <row r="257" ht="12.75">
      <c r="A257" s="164"/>
    </row>
    <row r="258" ht="12.75">
      <c r="A258" s="164"/>
    </row>
    <row r="259" ht="12.75">
      <c r="A259" s="164"/>
    </row>
    <row r="260" ht="12.75">
      <c r="A260" s="164"/>
    </row>
    <row r="261" ht="12.75">
      <c r="A261" s="164"/>
    </row>
    <row r="262" ht="12.75">
      <c r="A262" s="164"/>
    </row>
    <row r="263" ht="12.75">
      <c r="A263" s="164"/>
    </row>
    <row r="264" ht="12.75">
      <c r="A264" s="164"/>
    </row>
    <row r="265" ht="12.75">
      <c r="A265" s="164"/>
    </row>
    <row r="266" ht="12.75">
      <c r="A266" s="164"/>
    </row>
    <row r="269" ht="12.75">
      <c r="A269" s="164"/>
    </row>
    <row r="270" ht="12.75">
      <c r="A270" s="164"/>
    </row>
    <row r="271" ht="12.75">
      <c r="A271" s="164"/>
    </row>
    <row r="272" ht="12.75">
      <c r="A272" s="164"/>
    </row>
    <row r="273" ht="12.75">
      <c r="A273" s="164"/>
    </row>
    <row r="274" ht="12.75">
      <c r="A274" s="164"/>
    </row>
    <row r="275" ht="12.75">
      <c r="A275" s="164"/>
    </row>
    <row r="276" ht="12.75">
      <c r="A276" s="164"/>
    </row>
    <row r="277" ht="12.75">
      <c r="A277" s="164"/>
    </row>
    <row r="278" ht="12.75">
      <c r="A278" s="164"/>
    </row>
    <row r="279" ht="12.75">
      <c r="A279" s="164"/>
    </row>
    <row r="280" ht="12.75">
      <c r="A280" s="164"/>
    </row>
    <row r="281" ht="12.75">
      <c r="A281" s="164"/>
    </row>
    <row r="282" ht="12.75">
      <c r="A282" s="164"/>
    </row>
    <row r="293" ht="12.75">
      <c r="A293" s="164"/>
    </row>
    <row r="294" ht="12.75">
      <c r="A294" s="164"/>
    </row>
    <row r="295" ht="12.75">
      <c r="A295" s="164"/>
    </row>
    <row r="296" ht="12.75">
      <c r="A296" s="164"/>
    </row>
    <row r="297" ht="12.75">
      <c r="A297" s="164"/>
    </row>
    <row r="298" ht="12.75">
      <c r="A298" s="164"/>
    </row>
    <row r="299" ht="12.75">
      <c r="A299" s="164"/>
    </row>
    <row r="300" ht="12.75">
      <c r="A300" s="164"/>
    </row>
    <row r="301" ht="12.75">
      <c r="A301" s="164"/>
    </row>
    <row r="302" ht="12.75">
      <c r="A302" s="164"/>
    </row>
    <row r="303" ht="12.75">
      <c r="A303" s="164"/>
    </row>
    <row r="304" ht="12.75">
      <c r="A304" s="164"/>
    </row>
    <row r="305" ht="12.75">
      <c r="A305" s="164"/>
    </row>
    <row r="306" ht="12.75">
      <c r="A306" s="164"/>
    </row>
    <row r="307" ht="12.75">
      <c r="A307" s="164"/>
    </row>
    <row r="308" ht="12.75">
      <c r="A308" s="164"/>
    </row>
    <row r="309" ht="12.75">
      <c r="A309" s="164"/>
    </row>
    <row r="310" ht="12.75">
      <c r="A310" s="164"/>
    </row>
    <row r="311" ht="12.75">
      <c r="A311" s="164"/>
    </row>
    <row r="312" ht="12.75">
      <c r="A312" s="164"/>
    </row>
    <row r="313" ht="12.75">
      <c r="A313" s="164"/>
    </row>
    <row r="314" ht="12.75">
      <c r="A314" s="164"/>
    </row>
    <row r="315" ht="12.75">
      <c r="A315" s="164"/>
    </row>
    <row r="316" ht="12.75">
      <c r="A316" s="164"/>
    </row>
    <row r="317" ht="12.75">
      <c r="A317" s="164"/>
    </row>
    <row r="318" ht="12.75">
      <c r="A318" s="164"/>
    </row>
    <row r="319" ht="12.75">
      <c r="A319" s="164"/>
    </row>
    <row r="320" ht="12.75">
      <c r="A320" s="164"/>
    </row>
    <row r="321" ht="12.75">
      <c r="A321" s="164"/>
    </row>
    <row r="322" ht="12.75">
      <c r="A322" s="164"/>
    </row>
    <row r="323" ht="12.75">
      <c r="A323" s="164"/>
    </row>
    <row r="324" ht="12.75">
      <c r="A324" s="164"/>
    </row>
    <row r="325" ht="12.75">
      <c r="A325" s="164"/>
    </row>
    <row r="326" ht="12.75">
      <c r="A326" s="164"/>
    </row>
    <row r="327" ht="12.75">
      <c r="A327" s="164"/>
    </row>
    <row r="328" ht="12.75">
      <c r="A328" s="164"/>
    </row>
    <row r="329" ht="12.75">
      <c r="A329" s="164"/>
    </row>
    <row r="330" ht="12.75">
      <c r="A330" s="164"/>
    </row>
    <row r="331" ht="12.75">
      <c r="A331" s="164"/>
    </row>
    <row r="332" ht="12.75">
      <c r="A332" s="164"/>
    </row>
    <row r="333" ht="12.75">
      <c r="A333" s="164"/>
    </row>
    <row r="334" ht="12.75">
      <c r="A334" s="164"/>
    </row>
    <row r="335" ht="12.75">
      <c r="A335" s="164"/>
    </row>
    <row r="336" ht="12.75">
      <c r="A336" s="164"/>
    </row>
    <row r="337" ht="12.75">
      <c r="A337" s="164"/>
    </row>
    <row r="338" ht="12.75">
      <c r="A338" s="164"/>
    </row>
    <row r="339" ht="12.75">
      <c r="A339" s="164"/>
    </row>
    <row r="340" ht="12.75">
      <c r="A340" s="164"/>
    </row>
    <row r="341" ht="12.75">
      <c r="A341" s="164"/>
    </row>
    <row r="342" ht="12.75">
      <c r="A342" s="164"/>
    </row>
    <row r="343" ht="12.75">
      <c r="A343" s="164"/>
    </row>
    <row r="344" ht="12.75">
      <c r="A344" s="164"/>
    </row>
    <row r="345" ht="12.75">
      <c r="A345" s="164"/>
    </row>
    <row r="346" ht="12.75">
      <c r="A346" s="164"/>
    </row>
    <row r="347" ht="12.75">
      <c r="A347" s="164"/>
    </row>
    <row r="348" ht="12.75">
      <c r="A348" s="164"/>
    </row>
    <row r="349" ht="12.75">
      <c r="A349" s="164"/>
    </row>
    <row r="350" ht="12.75">
      <c r="A350" s="164"/>
    </row>
    <row r="351" ht="12.75">
      <c r="A351" s="164"/>
    </row>
    <row r="352" ht="12.75">
      <c r="A352" s="164"/>
    </row>
    <row r="353" ht="12.75">
      <c r="A353" s="164"/>
    </row>
    <row r="354" ht="12.75">
      <c r="A354" s="164"/>
    </row>
    <row r="355" ht="12.75">
      <c r="A355" s="164"/>
    </row>
    <row r="356" ht="12.75">
      <c r="A356" s="164"/>
    </row>
    <row r="357" ht="12.75">
      <c r="A357" s="164"/>
    </row>
    <row r="358" ht="12.75">
      <c r="A358" s="164"/>
    </row>
    <row r="359" ht="12.75">
      <c r="A359" s="164"/>
    </row>
    <row r="360" ht="12.75">
      <c r="A360" s="164"/>
    </row>
    <row r="361" ht="12.75">
      <c r="A361" s="164"/>
    </row>
    <row r="362" ht="12.75">
      <c r="A362" s="164"/>
    </row>
    <row r="368" ht="12.75">
      <c r="A368" s="164"/>
    </row>
    <row r="369" ht="12.75">
      <c r="A369" s="164"/>
    </row>
    <row r="370" ht="12.75">
      <c r="A370" s="164"/>
    </row>
    <row r="371" ht="12.75">
      <c r="A371" s="164"/>
    </row>
    <row r="372" ht="12.75">
      <c r="A372" s="164"/>
    </row>
    <row r="373" ht="12.75">
      <c r="A373" s="164"/>
    </row>
    <row r="374" ht="12.75">
      <c r="A374" s="164"/>
    </row>
    <row r="375" ht="12.75">
      <c r="A375" s="164"/>
    </row>
    <row r="376" ht="12.75">
      <c r="A376" s="164"/>
    </row>
    <row r="377" ht="12.75">
      <c r="A377" s="164"/>
    </row>
    <row r="378" ht="12.75">
      <c r="A378" s="164"/>
    </row>
    <row r="383" ht="12.75">
      <c r="A383" s="164"/>
    </row>
    <row r="384" ht="12.75">
      <c r="A384" s="164"/>
    </row>
    <row r="385" ht="12.75">
      <c r="A385" s="164"/>
    </row>
    <row r="386" ht="12.75">
      <c r="A386" s="164"/>
    </row>
    <row r="387" ht="12.75">
      <c r="A387" s="164"/>
    </row>
    <row r="388" ht="12.75">
      <c r="A388" s="164"/>
    </row>
    <row r="389" ht="12.75">
      <c r="A389" s="164"/>
    </row>
    <row r="390" ht="12.75">
      <c r="A390" s="164"/>
    </row>
    <row r="391" ht="12.75">
      <c r="A391" s="164"/>
    </row>
    <row r="392" ht="12.75">
      <c r="A392" s="164"/>
    </row>
    <row r="393" ht="12.75">
      <c r="A393" s="164"/>
    </row>
    <row r="394" ht="12.75">
      <c r="A394" s="164"/>
    </row>
    <row r="395" ht="12.75">
      <c r="A395" s="164"/>
    </row>
    <row r="396" ht="12.75">
      <c r="A396" s="164"/>
    </row>
    <row r="397" ht="12.75">
      <c r="A397" s="164"/>
    </row>
    <row r="398" ht="12.75">
      <c r="A398" s="164"/>
    </row>
    <row r="399" ht="12.75">
      <c r="A399" s="164"/>
    </row>
    <row r="400" ht="12.75">
      <c r="A400" s="164"/>
    </row>
    <row r="401" ht="12.75">
      <c r="A401" s="164"/>
    </row>
    <row r="402" ht="12.75">
      <c r="A402" s="164"/>
    </row>
    <row r="403" ht="12.75">
      <c r="A403" s="164"/>
    </row>
    <row r="404" ht="12.75">
      <c r="A404" s="164"/>
    </row>
    <row r="405" ht="12.75">
      <c r="A405" s="164"/>
    </row>
    <row r="406" ht="12.75">
      <c r="A406" s="164"/>
    </row>
    <row r="407" ht="12.75">
      <c r="A407" s="164"/>
    </row>
    <row r="408" ht="12.75">
      <c r="A408" s="164"/>
    </row>
    <row r="409" ht="12.75">
      <c r="A409" s="164"/>
    </row>
    <row r="410" ht="12.75">
      <c r="A410" s="164"/>
    </row>
    <row r="411" ht="12.75">
      <c r="A411" s="164"/>
    </row>
    <row r="412" ht="12.75">
      <c r="A412" s="164"/>
    </row>
    <row r="413" ht="12.75">
      <c r="A413" s="164"/>
    </row>
    <row r="414" ht="12.75">
      <c r="A414" s="164"/>
    </row>
    <row r="415" ht="12.75">
      <c r="A415" s="164"/>
    </row>
    <row r="416" ht="12.75">
      <c r="A416" s="164"/>
    </row>
    <row r="417" ht="12.75">
      <c r="A417" s="164"/>
    </row>
    <row r="418" ht="12.75">
      <c r="A418" s="164"/>
    </row>
    <row r="419" ht="12.75">
      <c r="A419" s="164"/>
    </row>
    <row r="420" ht="12.75">
      <c r="A420" s="164"/>
    </row>
    <row r="421" ht="12.75">
      <c r="A421" s="164"/>
    </row>
    <row r="422" ht="12.75">
      <c r="A422" s="164"/>
    </row>
    <row r="423" ht="12.75">
      <c r="A423" s="164"/>
    </row>
    <row r="424" ht="12.75">
      <c r="A424" s="164"/>
    </row>
    <row r="425" ht="12.75">
      <c r="A425" s="164"/>
    </row>
    <row r="426" ht="12.75">
      <c r="A426" s="164"/>
    </row>
    <row r="427" ht="12.75">
      <c r="A427" s="164"/>
    </row>
    <row r="428" ht="12.75">
      <c r="A428" s="164"/>
    </row>
    <row r="429" ht="12.75">
      <c r="A429" s="164"/>
    </row>
    <row r="430" ht="12.75">
      <c r="A430" s="164"/>
    </row>
    <row r="431" ht="12.75">
      <c r="A431" s="164"/>
    </row>
    <row r="432" ht="12.75">
      <c r="A432" s="164"/>
    </row>
    <row r="433" ht="12.75">
      <c r="A433" s="164"/>
    </row>
    <row r="434" ht="12.75">
      <c r="A434" s="164"/>
    </row>
    <row r="435" ht="12.75">
      <c r="A435" s="164"/>
    </row>
    <row r="436" ht="12.75">
      <c r="A436" s="164"/>
    </row>
    <row r="437" ht="12.75">
      <c r="A437" s="164"/>
    </row>
    <row r="438" ht="12.75">
      <c r="A438" s="164"/>
    </row>
    <row r="439" ht="12.75">
      <c r="A439" s="164"/>
    </row>
    <row r="440" ht="12.75">
      <c r="A440" s="164"/>
    </row>
    <row r="441" ht="12.75">
      <c r="A441" s="164"/>
    </row>
    <row r="442" ht="12.75">
      <c r="A442" s="164"/>
    </row>
    <row r="443" ht="12.75">
      <c r="A443" s="164"/>
    </row>
    <row r="444" ht="12.75">
      <c r="A444" s="164"/>
    </row>
    <row r="445" ht="12.75">
      <c r="A445" s="164"/>
    </row>
    <row r="446" ht="12.75">
      <c r="A446" s="164"/>
    </row>
    <row r="447" ht="12.75">
      <c r="A447" s="164"/>
    </row>
    <row r="448" ht="12.75">
      <c r="A448" s="164"/>
    </row>
    <row r="449" ht="12.75">
      <c r="A449" s="164"/>
    </row>
    <row r="450" ht="12.75">
      <c r="A450" s="164"/>
    </row>
    <row r="451" ht="12.75">
      <c r="A451" s="164"/>
    </row>
    <row r="452" ht="12.75">
      <c r="A452" s="164"/>
    </row>
    <row r="453" ht="12.75">
      <c r="A453" s="164"/>
    </row>
    <row r="454" ht="12.75">
      <c r="A454" s="164"/>
    </row>
    <row r="455" ht="12.75">
      <c r="A455" s="164"/>
    </row>
    <row r="456" ht="12.75">
      <c r="A456" s="164"/>
    </row>
    <row r="457" ht="12.75">
      <c r="A457" s="164"/>
    </row>
    <row r="458" ht="12.75">
      <c r="A458" s="164"/>
    </row>
    <row r="459" ht="12.75">
      <c r="A459" s="164"/>
    </row>
    <row r="460" ht="12.75">
      <c r="A460" s="164"/>
    </row>
    <row r="461" ht="12.75">
      <c r="A461" s="164"/>
    </row>
    <row r="462" ht="12.75">
      <c r="A462" s="164"/>
    </row>
    <row r="463" ht="12.75">
      <c r="A463" s="164"/>
    </row>
    <row r="464" ht="12.75">
      <c r="A464" s="164"/>
    </row>
    <row r="465" ht="12.75">
      <c r="A465" s="164"/>
    </row>
    <row r="466" ht="12.75">
      <c r="A466" s="164"/>
    </row>
    <row r="467" ht="12.75">
      <c r="A467" s="164"/>
    </row>
    <row r="468" ht="12.75">
      <c r="A468" s="164"/>
    </row>
    <row r="469" ht="12.75">
      <c r="A469" s="164"/>
    </row>
    <row r="471" ht="12.75">
      <c r="A471" s="164"/>
    </row>
    <row r="473" ht="12.75">
      <c r="A473" s="164"/>
    </row>
  </sheetData>
  <mergeCells count="5">
    <mergeCell ref="R26:W26"/>
    <mergeCell ref="H1:I1"/>
    <mergeCell ref="K1:L1"/>
    <mergeCell ref="N1:Q1"/>
    <mergeCell ref="R15:W15"/>
  </mergeCells>
  <conditionalFormatting sqref="O15">
    <cfRule type="cellIs" priority="1" dxfId="3" operator="equal" stopIfTrue="1">
      <formula>"NO"</formula>
    </cfRule>
    <cfRule type="cellIs" priority="2" dxfId="4" operator="equal" stopIfTrue="1">
      <formula>"YES"</formula>
    </cfRule>
  </conditionalFormatting>
  <conditionalFormatting sqref="O13">
    <cfRule type="cellIs" priority="3" dxfId="5" operator="lessThan" stopIfTrue="1">
      <formula>0</formula>
    </cfRule>
    <cfRule type="cellIs" priority="4" dxfId="4" operator="greaterThan" stopIfTrue="1">
      <formula>0</formula>
    </cfRule>
  </conditionalFormatting>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J30"/>
  <sheetViews>
    <sheetView workbookViewId="0" topLeftCell="A1">
      <selection activeCell="D43" sqref="D43"/>
    </sheetView>
  </sheetViews>
  <sheetFormatPr defaultColWidth="9.140625" defaultRowHeight="12.75"/>
  <cols>
    <col min="1" max="1" width="15.140625" style="0" bestFit="1" customWidth="1"/>
    <col min="2" max="2" width="11.28125" style="0" bestFit="1" customWidth="1"/>
    <col min="3" max="3" width="12.00390625" style="0" bestFit="1" customWidth="1"/>
    <col min="4" max="4" width="15.57421875" style="0" customWidth="1"/>
    <col min="5" max="5" width="10.28125" style="0" bestFit="1" customWidth="1"/>
    <col min="6" max="6" width="10.7109375" style="0" customWidth="1"/>
  </cols>
  <sheetData>
    <row r="1" spans="1:4" ht="12.75">
      <c r="A1" s="267" t="s">
        <v>123</v>
      </c>
      <c r="B1" s="268"/>
      <c r="C1" s="268"/>
      <c r="D1" s="269"/>
    </row>
    <row r="2" spans="1:4" ht="13.5" thickBot="1">
      <c r="A2" s="270"/>
      <c r="B2" s="271"/>
      <c r="C2" s="271"/>
      <c r="D2" s="272"/>
    </row>
    <row r="3" spans="1:4" ht="12.75">
      <c r="A3" s="240"/>
      <c r="B3" s="241" t="s">
        <v>124</v>
      </c>
      <c r="C3" s="241" t="s">
        <v>125</v>
      </c>
      <c r="D3" s="242" t="s">
        <v>126</v>
      </c>
    </row>
    <row r="4" spans="1:4" ht="12.75">
      <c r="A4" s="243" t="s">
        <v>127</v>
      </c>
      <c r="B4" s="21">
        <v>5</v>
      </c>
      <c r="C4" s="21">
        <f>B4*12</f>
        <v>60</v>
      </c>
      <c r="D4" s="34">
        <f>B4*365</f>
        <v>1825</v>
      </c>
    </row>
    <row r="5" spans="1:4" ht="12.75">
      <c r="A5" s="243" t="s">
        <v>128</v>
      </c>
      <c r="B5" s="21">
        <f>(1/$B$8)-((1/($B$8*(1+$B$8)^B4)))</f>
        <v>4.853431239325118</v>
      </c>
      <c r="C5" s="21">
        <f>(1/$C$8)-((1/($C$8*(1+$C$8)^C4)))</f>
        <v>58.50092281934826</v>
      </c>
      <c r="D5" s="34">
        <f>(1/$D$8)-((1/($D$8*(1+$D$8)^D4)))</f>
        <v>1780.1022254152049</v>
      </c>
    </row>
    <row r="6" spans="1:4" ht="13.5" thickBot="1">
      <c r="A6" s="243"/>
      <c r="B6" s="21"/>
      <c r="C6" s="21"/>
      <c r="D6" s="34"/>
    </row>
    <row r="7" spans="1:4" ht="13.5" thickBot="1">
      <c r="A7" s="243" t="s">
        <v>129</v>
      </c>
      <c r="B7" s="244">
        <f>B9/B5</f>
        <v>6273.012588843552</v>
      </c>
      <c r="C7" s="245">
        <f>C9/C5</f>
        <v>520.4300000085403</v>
      </c>
      <c r="D7" s="246">
        <f>D9/D5</f>
        <v>17.103307230724717</v>
      </c>
    </row>
    <row r="8" spans="1:4" ht="12.75">
      <c r="A8" s="243" t="s">
        <v>130</v>
      </c>
      <c r="B8" s="247">
        <v>0.01</v>
      </c>
      <c r="C8" s="247">
        <f>B8/12</f>
        <v>0.0008333333333333334</v>
      </c>
      <c r="D8" s="248">
        <f>B8/365</f>
        <v>2.7397260273972603E-05</v>
      </c>
    </row>
    <row r="9" spans="1:4" ht="12.75">
      <c r="A9" s="243" t="s">
        <v>131</v>
      </c>
      <c r="B9" s="44">
        <f>C30</f>
        <v>30445.63526337303</v>
      </c>
      <c r="C9" s="44">
        <f>B9</f>
        <v>30445.63526337303</v>
      </c>
      <c r="D9" s="249">
        <f>C9</f>
        <v>30445.63526337303</v>
      </c>
    </row>
    <row r="10" spans="1:4" ht="12.75">
      <c r="A10" s="243"/>
      <c r="B10" s="21"/>
      <c r="C10" s="21"/>
      <c r="D10" s="34"/>
    </row>
    <row r="11" spans="1:4" ht="13.5" thickBot="1">
      <c r="A11" s="250" t="s">
        <v>132</v>
      </c>
      <c r="B11" s="251">
        <f>B7*B4</f>
        <v>31365.06294421776</v>
      </c>
      <c r="C11" s="251">
        <f>C7*C4</f>
        <v>31225.80000051242</v>
      </c>
      <c r="D11" s="252">
        <f>D7*D4</f>
        <v>31213.53569607261</v>
      </c>
    </row>
    <row r="12" spans="1:4" ht="13.5" thickBot="1">
      <c r="A12" s="64"/>
      <c r="B12" s="32"/>
      <c r="C12" s="32"/>
      <c r="D12" s="32"/>
    </row>
    <row r="13" spans="1:4" ht="12.75">
      <c r="A13" s="267" t="s">
        <v>133</v>
      </c>
      <c r="B13" s="273"/>
      <c r="C13" s="273"/>
      <c r="D13" s="274"/>
    </row>
    <row r="14" spans="1:4" ht="13.5" thickBot="1">
      <c r="A14" s="275"/>
      <c r="B14" s="276"/>
      <c r="C14" s="276"/>
      <c r="D14" s="277"/>
    </row>
    <row r="15" spans="1:4" ht="12.75">
      <c r="A15" s="240"/>
      <c r="B15" s="241" t="s">
        <v>124</v>
      </c>
      <c r="C15" s="241" t="s">
        <v>125</v>
      </c>
      <c r="D15" s="242" t="s">
        <v>126</v>
      </c>
    </row>
    <row r="16" spans="1:4" ht="12.75">
      <c r="A16" s="243" t="s">
        <v>127</v>
      </c>
      <c r="B16" s="21">
        <v>5</v>
      </c>
      <c r="C16" s="21">
        <f>B16*12</f>
        <v>60</v>
      </c>
      <c r="D16" s="34">
        <f>B16*365</f>
        <v>1825</v>
      </c>
    </row>
    <row r="17" spans="1:4" ht="12.75">
      <c r="A17" s="243" t="s">
        <v>128</v>
      </c>
      <c r="B17" s="21">
        <f>(1/$B$8)-((1/($B$8*(1+$B$8)^B16)))</f>
        <v>4.853431239325118</v>
      </c>
      <c r="C17" s="21">
        <f>(1/$C$8)-((1/($C$8*(1+$C$8)^C16)))</f>
        <v>58.50092281934826</v>
      </c>
      <c r="D17" s="34">
        <f>(1/$D$8)-((1/($D$8*(1+$D$8)^D16)))</f>
        <v>1780.1022254152049</v>
      </c>
    </row>
    <row r="18" spans="1:4" ht="12.75">
      <c r="A18" s="243"/>
      <c r="B18" s="21"/>
      <c r="C18" s="21"/>
      <c r="D18" s="34"/>
    </row>
    <row r="19" spans="1:4" ht="12.75">
      <c r="A19" s="243" t="s">
        <v>129</v>
      </c>
      <c r="B19" s="244">
        <f>B7</f>
        <v>6273.012588843552</v>
      </c>
      <c r="C19" s="244">
        <f>C7</f>
        <v>520.4300000085403</v>
      </c>
      <c r="D19" s="246">
        <f>D7</f>
        <v>17.103307230724717</v>
      </c>
    </row>
    <row r="20" spans="1:4" ht="12.75">
      <c r="A20" s="243" t="s">
        <v>130</v>
      </c>
      <c r="B20" s="247">
        <v>0.01</v>
      </c>
      <c r="C20" s="247">
        <f>B20/12</f>
        <v>0.0008333333333333334</v>
      </c>
      <c r="D20" s="248">
        <f>B20/365</f>
        <v>2.7397260273972603E-05</v>
      </c>
    </row>
    <row r="21" spans="1:4" ht="12.75">
      <c r="A21" s="243" t="s">
        <v>131</v>
      </c>
      <c r="B21" s="44">
        <f>B19*B17</f>
        <v>30445.63526337303</v>
      </c>
      <c r="C21" s="44">
        <f>C19*C17</f>
        <v>30445.63526337303</v>
      </c>
      <c r="D21" s="249">
        <f>D19*D17</f>
        <v>30445.635263373035</v>
      </c>
    </row>
    <row r="22" spans="1:4" ht="12.75">
      <c r="A22" s="243"/>
      <c r="B22" s="21"/>
      <c r="C22" s="21"/>
      <c r="D22" s="34"/>
    </row>
    <row r="23" spans="1:4" ht="13.5" thickBot="1">
      <c r="A23" s="250" t="s">
        <v>132</v>
      </c>
      <c r="B23" s="251">
        <f>B19*B16</f>
        <v>31365.06294421776</v>
      </c>
      <c r="C23" s="251">
        <f>C19*C16</f>
        <v>31225.80000051242</v>
      </c>
      <c r="D23" s="252">
        <f>D19*D16</f>
        <v>31213.53569607261</v>
      </c>
    </row>
    <row r="26" spans="1:3" ht="12.75">
      <c r="A26" s="253" t="s">
        <v>134</v>
      </c>
      <c r="B26" s="253"/>
      <c r="C26" s="253" t="s">
        <v>135</v>
      </c>
    </row>
    <row r="27" spans="1:3" ht="12.75">
      <c r="A27" s="254">
        <v>39114</v>
      </c>
      <c r="C27" s="254">
        <v>39569</v>
      </c>
    </row>
    <row r="28" spans="1:8" ht="12.75">
      <c r="A28" s="18">
        <v>30000</v>
      </c>
      <c r="C28" s="18">
        <f>A28*(1+E28)^H28</f>
        <v>30425.883701802988</v>
      </c>
      <c r="E28" s="255">
        <v>0.01</v>
      </c>
      <c r="F28" t="s">
        <v>136</v>
      </c>
      <c r="G28">
        <v>1</v>
      </c>
      <c r="H28">
        <f>H29/12</f>
        <v>1.4166666666666667</v>
      </c>
    </row>
    <row r="29" spans="1:10" ht="12.75">
      <c r="A29" s="18">
        <v>30000</v>
      </c>
      <c r="B29" s="18"/>
      <c r="C29" s="18">
        <f>A29*(1+E29)^H29</f>
        <v>30427.84517339643</v>
      </c>
      <c r="E29" s="255">
        <f>E28/12</f>
        <v>0.0008333333333333334</v>
      </c>
      <c r="F29" t="s">
        <v>19</v>
      </c>
      <c r="G29">
        <v>12</v>
      </c>
      <c r="H29">
        <v>17</v>
      </c>
      <c r="I29">
        <v>31.659376664545896</v>
      </c>
      <c r="J29" t="s">
        <v>137</v>
      </c>
    </row>
    <row r="30" spans="1:9" ht="12.75">
      <c r="A30" s="18">
        <v>30000</v>
      </c>
      <c r="C30" s="256">
        <f>A30*(1+E30)^H30</f>
        <v>30445.63526337303</v>
      </c>
      <c r="E30" s="255">
        <f>E28/G30</f>
        <v>2.7397260273972603E-05</v>
      </c>
      <c r="F30" t="s">
        <v>138</v>
      </c>
      <c r="G30">
        <v>365</v>
      </c>
      <c r="H30">
        <f>H29*I29</f>
        <v>538.2094032972802</v>
      </c>
      <c r="I30" t="s">
        <v>139</v>
      </c>
    </row>
  </sheetData>
  <mergeCells count="2">
    <mergeCell ref="A1:D2"/>
    <mergeCell ref="A13:D1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Image</cp:lastModifiedBy>
  <dcterms:created xsi:type="dcterms:W3CDTF">2006-02-09T15:40:12Z</dcterms:created>
  <dcterms:modified xsi:type="dcterms:W3CDTF">2007-01-14T21:49:33Z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